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foasky-my.sharepoint.com/personal/figr_foa_dk/Documents/P-drev/Diverse regnere/TZ/Lønomkostningsberegnere TZ/"/>
    </mc:Choice>
  </mc:AlternateContent>
  <xr:revisionPtr revIDLastSave="486" documentId="8_{BA441613-EC8E-4B47-90B8-00909162BCE6}" xr6:coauthVersionLast="47" xr6:coauthVersionMax="47" xr10:uidLastSave="{016223B2-C6CF-4368-B5DA-C35B8DA485B4}"/>
  <bookViews>
    <workbookView xWindow="-110" yWindow="-110" windowWidth="19420" windowHeight="10300" tabRatio="860" firstSheet="3" activeTab="3" xr2:uid="{00000000-000D-0000-FFFF-FFFF00000000}"/>
  </bookViews>
  <sheets>
    <sheet name="gl. til nyt niveau" sheetId="1" state="hidden" r:id="rId1"/>
    <sheet name="reguleringsprocenter" sheetId="14" state="hidden" r:id="rId2"/>
    <sheet name="Lønark" sheetId="15" state="hidden" r:id="rId3"/>
    <sheet name="Forside" sheetId="13" r:id="rId4"/>
    <sheet name="Omregner" sheetId="12" r:id="rId5"/>
    <sheet name="Omregningstabel " sheetId="11" state="hidden" r:id="rId6"/>
    <sheet name="Tillæg_trin" sheetId="4" state="hidden" r:id="rId7"/>
    <sheet name="Tillæg_kr" sheetId="17" state="hidden" r:id="rId8"/>
    <sheet name="Op_ned i tid" sheetId="18" r:id="rId9"/>
    <sheet name="Samlet_omk" sheetId="16" r:id="rId10"/>
  </sheets>
  <definedNames>
    <definedName name="_1_10_1998">'Omregningstabel '!$E$1</definedName>
    <definedName name="_1_10_2001">'Omregningstabel '!$I$1</definedName>
    <definedName name="_1_10_2003">'Omregningstabel '!$M$1</definedName>
    <definedName name="_1_10_2004">'Omregningstabel '!$P$1</definedName>
    <definedName name="_1_4_1998">'Omregningstabel '!$D$1</definedName>
    <definedName name="_1_4_1999">'Omregningstabel '!$F$1</definedName>
    <definedName name="_1_4_2000">'Omregningstabel '!$G$1</definedName>
    <definedName name="_1_4_2001">'Omregningstabel '!$H$1</definedName>
    <definedName name="_1_4_2002">'Omregningstabel '!$J$1</definedName>
    <definedName name="_1_4_2003">'Omregningstabel '!$K$1</definedName>
    <definedName name="_1_4_2004">'Omregningstabel '!$N$1</definedName>
    <definedName name="_1_8_2003">'Omregningstabel '!$L$1</definedName>
    <definedName name="_1_8_2004">'Omregningstabel '!$O$1</definedName>
    <definedName name="Beløb" localSheetId="5">'Omregningstabel '!$C$7</definedName>
    <definedName name="beløb" localSheetId="7">Tillæg_kr!$C$12</definedName>
    <definedName name="beløb_10_01">'Omregningstabel '!$I$18</definedName>
    <definedName name="beløb_10_03">'Omregningstabel '!$M$22</definedName>
    <definedName name="beløb_10_04">'Omregningstabel '!$P$25</definedName>
    <definedName name="beløb_4_00">'Omregningstabel '!$G$16</definedName>
    <definedName name="beløb_4_01">'Omregningstabel '!$H$17</definedName>
    <definedName name="beløb_4_02">'Omregningstabel '!$J$19</definedName>
    <definedName name="beløb_4_03">'Omregningstabel '!$K$20</definedName>
    <definedName name="beløb_4_04">'Omregningstabel '!$N$23</definedName>
    <definedName name="beløb_8_03">'Omregningstabel '!$L$21</definedName>
    <definedName name="beløb_8_04">'Omregningstabel '!$O$24</definedName>
    <definedName name="beregningsdato">Forside!$J$11</definedName>
    <definedName name="dummy" localSheetId="7">Tillæg_kr!$A$1</definedName>
    <definedName name="faktor">Lønark!$AW$8</definedName>
    <definedName name="ferie_pct">Tillæg_trin!$D$8</definedName>
    <definedName name="fra_trin" localSheetId="9">Samlet_omk!$C$8</definedName>
    <definedName name="fra_trin">Tillæg_trin!$C$11</definedName>
    <definedName name="grundsats_inkl._lavtløn">Lønark!$CL:$CM</definedName>
    <definedName name="Kolonnetillæg">Lønark!$AM$3</definedName>
    <definedName name="kr" localSheetId="7">Tillæg_kr!$D$5</definedName>
    <definedName name="kr_omregnes">Omregner!$E$14</definedName>
    <definedName name="Lavtløn">Lønark!$CH$3:$CJ$6</definedName>
    <definedName name="løngruppe" localSheetId="9">Samlet_omk!$C$3</definedName>
    <definedName name="løngruppe" localSheetId="7">Tillæg_kr!$D$9</definedName>
    <definedName name="løngruppe">Tillæg_trin!$D$5</definedName>
    <definedName name="lønniveau">Lønark!$F$3</definedName>
    <definedName name="Lønniveauer">reguleringsprocenter!$B$4:$D$21</definedName>
    <definedName name="løntabel">Lønark!$A$7:$G$46</definedName>
    <definedName name="meritløn">Lønark!$A$70:$F$71</definedName>
    <definedName name="Nyt_beløb_1">'Omregningstabel '!$C$15</definedName>
    <definedName name="Nyt_beløb_2">'Omregningstabel '!$D$15</definedName>
    <definedName name="Nyt_beløb_3">'Omregningstabel '!$E$15</definedName>
    <definedName name="Nyt_beløb_4">'Omregningstabel '!$F$15</definedName>
    <definedName name="opslag_niveauer">reguleringsprocenter!$B$18:$B$28</definedName>
    <definedName name="Optrapningsløn">Lønark!$G$5:$G$52</definedName>
    <definedName name="Optrapningspension">Lønark!$M$5:$M$52</definedName>
    <definedName name="Pension">Lønark!$H$5:$M$52</definedName>
    <definedName name="pensionsstatus" localSheetId="9">Samlet_omk!$C$5</definedName>
    <definedName name="pensionsstatus" localSheetId="7">Tillæg_kr!$D$7</definedName>
    <definedName name="pensionsstatus">Tillæg_trin!$D$7</definedName>
    <definedName name="problemknuser" localSheetId="9">Samlet_omk!$A$1</definedName>
    <definedName name="problemknuser">Tillæg_trin!$A$1</definedName>
    <definedName name="reg_pct">Lønark!$N$4</definedName>
    <definedName name="reg_procenten" localSheetId="7">Tillæg_kr!$A$1</definedName>
    <definedName name="regpct_tabel">reguleringsprocenter!$B$4:$D$15</definedName>
    <definedName name="regulering" localSheetId="7">Tillæg_kr!$A$5</definedName>
    <definedName name="regulering">Lønark!$Z$3</definedName>
    <definedName name="regulering_1_4_2001" localSheetId="7">Tillæg_kr!$B$19</definedName>
    <definedName name="regulering_31_3_2000" localSheetId="7">Tillæg_kr!$B$18</definedName>
    <definedName name="tekst">reguleringsprocenter!$F$4:$G$8</definedName>
    <definedName name="tid">reguleringsprocenter!$B$19:$B$23</definedName>
    <definedName name="til_trin" localSheetId="9">Samlet_omk!$F$8</definedName>
    <definedName name="til_trin">Tillæg_trin!$D$11</definedName>
    <definedName name="timetal" localSheetId="9">Samlet_omk!$C$4</definedName>
    <definedName name="timetal" localSheetId="7">Tillæg_kr!$D$6</definedName>
    <definedName name="timetal">Tillæg_trin!$D$6</definedName>
    <definedName name="timetal_ny">'Op_ned i tid'!$E$19</definedName>
    <definedName name="udbygningspct">Lønark!$BD$2</definedName>
    <definedName name="_xlnm.Print_Area" localSheetId="4">Omregner!$A$1:$J$34</definedName>
    <definedName name="_xlnm.Print_Area" localSheetId="5">'Omregningstabel '!$B$1:$J$21</definedName>
    <definedName name="_xlnm.Print_Area" localSheetId="8">'Op_ned i tid'!$A$1:$I$35</definedName>
    <definedName name="_xlnm.Print_Area" localSheetId="9">Samlet_omk!$A$1:$H$30</definedName>
    <definedName name="valgt_regulering">reguleringsprocenter!$C$3</definedName>
    <definedName name="årsløn">Lønark!$A$5:$G$52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6" l="1"/>
  <c r="D18" i="16"/>
  <c r="D10" i="16"/>
  <c r="D13" i="16"/>
  <c r="C13" i="16"/>
  <c r="D21" i="18"/>
  <c r="C22" i="18" s="1"/>
  <c r="G21" i="18"/>
  <c r="E22" i="18" s="1"/>
  <c r="H19" i="18"/>
  <c r="E21" i="18"/>
  <c r="E23" i="18" s="1"/>
  <c r="AO59" i="15"/>
  <c r="AN59" i="15"/>
  <c r="AM59" i="15"/>
  <c r="AL59" i="15"/>
  <c r="AO58" i="15"/>
  <c r="AN58" i="15"/>
  <c r="AM58" i="15"/>
  <c r="AL58" i="15"/>
  <c r="AO57" i="15"/>
  <c r="AN57" i="15"/>
  <c r="AM57" i="15"/>
  <c r="AL57" i="15"/>
  <c r="AO56" i="15"/>
  <c r="AN56" i="15"/>
  <c r="AM56" i="15"/>
  <c r="AL56" i="15"/>
  <c r="AO55" i="15"/>
  <c r="AN55" i="15"/>
  <c r="AM55" i="15"/>
  <c r="AL55" i="15"/>
  <c r="AO54" i="15"/>
  <c r="AN54" i="15"/>
  <c r="AM54" i="15"/>
  <c r="AL54" i="15"/>
  <c r="AO53" i="15"/>
  <c r="AN53" i="15"/>
  <c r="AM53" i="15"/>
  <c r="AL53" i="15"/>
  <c r="AO52" i="15"/>
  <c r="AN52" i="15"/>
  <c r="AM52" i="15"/>
  <c r="AL52" i="15"/>
  <c r="AO51" i="15"/>
  <c r="AN51" i="15"/>
  <c r="AM51" i="15"/>
  <c r="AL51" i="15"/>
  <c r="AO50" i="15"/>
  <c r="AN50" i="15"/>
  <c r="AM50" i="15"/>
  <c r="AL50" i="15"/>
  <c r="AO49" i="15"/>
  <c r="AN49" i="15"/>
  <c r="AM49" i="15"/>
  <c r="AL49" i="15"/>
  <c r="AO48" i="15"/>
  <c r="AN48" i="15"/>
  <c r="AM48" i="15"/>
  <c r="AL48" i="15"/>
  <c r="AO47" i="15"/>
  <c r="AN47" i="15"/>
  <c r="AM47" i="15"/>
  <c r="AL47" i="15"/>
  <c r="AO46" i="15"/>
  <c r="AN46" i="15"/>
  <c r="AM46" i="15"/>
  <c r="AL46" i="15"/>
  <c r="AO45" i="15"/>
  <c r="AN45" i="15"/>
  <c r="AM45" i="15"/>
  <c r="AL45" i="15"/>
  <c r="AO44" i="15"/>
  <c r="AN44" i="15"/>
  <c r="AM44" i="15"/>
  <c r="AL44" i="15"/>
  <c r="AO43" i="15"/>
  <c r="AN43" i="15"/>
  <c r="AM43" i="15"/>
  <c r="AL43" i="15"/>
  <c r="AO42" i="15"/>
  <c r="AN42" i="15"/>
  <c r="AM42" i="15"/>
  <c r="AL42" i="15"/>
  <c r="AO41" i="15"/>
  <c r="AN41" i="15"/>
  <c r="AM41" i="15"/>
  <c r="AL41" i="15"/>
  <c r="AO40" i="15"/>
  <c r="AN40" i="15"/>
  <c r="AM40" i="15"/>
  <c r="AL40" i="15"/>
  <c r="AO39" i="15"/>
  <c r="AN39" i="15"/>
  <c r="AM39" i="15"/>
  <c r="AL39" i="15"/>
  <c r="AO38" i="15"/>
  <c r="AN38" i="15"/>
  <c r="AM38" i="15"/>
  <c r="AL38" i="15"/>
  <c r="AO37" i="15"/>
  <c r="AN37" i="15"/>
  <c r="AM37" i="15"/>
  <c r="AL37" i="15"/>
  <c r="AO36" i="15"/>
  <c r="AN36" i="15"/>
  <c r="AM36" i="15"/>
  <c r="AL36" i="15"/>
  <c r="AO35" i="15"/>
  <c r="AN35" i="15"/>
  <c r="AM35" i="15"/>
  <c r="AL35" i="15"/>
  <c r="AO34" i="15"/>
  <c r="AN34" i="15"/>
  <c r="AM34" i="15"/>
  <c r="AL34" i="15"/>
  <c r="AO33" i="15"/>
  <c r="AN33" i="15"/>
  <c r="AM33" i="15"/>
  <c r="AL33" i="15"/>
  <c r="AO32" i="15"/>
  <c r="AN32" i="15"/>
  <c r="AM32" i="15"/>
  <c r="AL32" i="15"/>
  <c r="AO31" i="15"/>
  <c r="AN31" i="15"/>
  <c r="AM31" i="15"/>
  <c r="AL31" i="15"/>
  <c r="AO30" i="15"/>
  <c r="AN30" i="15"/>
  <c r="AM30" i="15"/>
  <c r="AL30" i="15"/>
  <c r="AO29" i="15"/>
  <c r="AN29" i="15"/>
  <c r="AM29" i="15"/>
  <c r="AL29" i="15"/>
  <c r="AO28" i="15"/>
  <c r="AN28" i="15"/>
  <c r="AM28" i="15"/>
  <c r="AL28" i="15"/>
  <c r="AO27" i="15"/>
  <c r="AN27" i="15"/>
  <c r="AM27" i="15"/>
  <c r="AL27" i="15"/>
  <c r="AO26" i="15"/>
  <c r="AN26" i="15"/>
  <c r="AM26" i="15"/>
  <c r="AL26" i="15"/>
  <c r="AO25" i="15"/>
  <c r="AN25" i="15"/>
  <c r="AM25" i="15"/>
  <c r="AL25" i="15"/>
  <c r="D19" i="16" l="1"/>
  <c r="C19" i="16" s="1"/>
  <c r="D14" i="16"/>
  <c r="C14" i="16" s="1"/>
  <c r="E28" i="18"/>
  <c r="E26" i="18"/>
  <c r="E24" i="18"/>
  <c r="E27" i="18" l="1"/>
  <c r="BE22" i="15" l="1"/>
  <c r="CS14" i="15" l="1"/>
  <c r="CR14" i="15"/>
  <c r="D76" i="15"/>
  <c r="V61" i="15"/>
  <c r="U61" i="15"/>
  <c r="T61" i="15"/>
  <c r="S61" i="15"/>
  <c r="V60" i="15"/>
  <c r="U60" i="15"/>
  <c r="T60" i="15"/>
  <c r="S60" i="15"/>
  <c r="CS25" i="15"/>
  <c r="CS24" i="15"/>
  <c r="CR24" i="15"/>
  <c r="CS23" i="15"/>
  <c r="CR23" i="15"/>
  <c r="CR22" i="15"/>
  <c r="CS22" i="15" s="1"/>
  <c r="CQ22" i="15"/>
  <c r="CR21" i="15"/>
  <c r="CS21" i="15" s="1"/>
  <c r="CQ21" i="15"/>
  <c r="CR20" i="15"/>
  <c r="CS20" i="15" s="1"/>
  <c r="CQ20" i="15"/>
  <c r="CR19" i="15"/>
  <c r="CS19" i="15" s="1"/>
  <c r="CQ19" i="15"/>
  <c r="CS18" i="15"/>
  <c r="CR18" i="15"/>
  <c r="CQ18" i="15"/>
  <c r="CR17" i="15"/>
  <c r="CQ17" i="15"/>
  <c r="CR16" i="15"/>
  <c r="CQ16" i="15"/>
  <c r="CR15" i="15"/>
  <c r="CQ15" i="15"/>
  <c r="CQ14" i="15"/>
  <c r="CI6" i="15"/>
  <c r="CI5" i="15"/>
  <c r="CS15" i="15" l="1"/>
  <c r="CS17" i="15"/>
  <c r="CS16" i="15"/>
  <c r="J11" i="13" l="1"/>
  <c r="F2" i="15" l="1"/>
  <c r="BD2" i="15" s="1"/>
  <c r="CM2" i="15"/>
  <c r="CN2" i="15" s="1"/>
  <c r="AM3" i="15"/>
  <c r="C1" i="18"/>
  <c r="C1" i="16"/>
  <c r="F11" i="12"/>
  <c r="C3" i="14"/>
  <c r="Z3" i="15" s="1"/>
  <c r="CM21" i="15" l="1"/>
  <c r="CK21" i="15" s="1"/>
  <c r="CM32" i="15"/>
  <c r="CM17" i="15"/>
  <c r="CM6" i="15"/>
  <c r="CM14" i="15"/>
  <c r="CM20" i="15"/>
  <c r="CK20" i="15" s="1"/>
  <c r="CM24" i="15"/>
  <c r="CM15" i="15"/>
  <c r="CM12" i="15"/>
  <c r="CM22" i="15"/>
  <c r="CK22" i="15" s="1"/>
  <c r="CM11" i="15"/>
  <c r="CM9" i="15"/>
  <c r="CM35" i="15"/>
  <c r="CM8" i="15"/>
  <c r="CM55" i="15"/>
  <c r="CM39" i="15"/>
  <c r="CM31" i="15"/>
  <c r="CM49" i="15"/>
  <c r="CM27" i="15"/>
  <c r="CM41" i="15"/>
  <c r="CM28" i="15"/>
  <c r="CM59" i="15"/>
  <c r="CM16" i="15"/>
  <c r="CM56" i="15"/>
  <c r="CM23" i="15"/>
  <c r="CK23" i="15" s="1"/>
  <c r="CM54" i="15"/>
  <c r="CM51" i="15"/>
  <c r="CM18" i="15"/>
  <c r="CK18" i="15" s="1"/>
  <c r="CM10" i="15"/>
  <c r="CM58" i="15"/>
  <c r="CM52" i="15"/>
  <c r="CM36" i="15"/>
  <c r="CM33" i="15"/>
  <c r="CM29" i="15"/>
  <c r="CM40" i="15"/>
  <c r="CM43" i="15"/>
  <c r="CM4" i="15"/>
  <c r="CM37" i="15"/>
  <c r="CM57" i="15"/>
  <c r="CM26" i="15"/>
  <c r="CM25" i="15"/>
  <c r="CM5" i="15"/>
  <c r="CM13" i="15"/>
  <c r="CM47" i="15"/>
  <c r="CM45" i="15"/>
  <c r="CM38" i="15"/>
  <c r="CM34" i="15"/>
  <c r="CM53" i="15"/>
  <c r="CM30" i="15"/>
  <c r="CM46" i="15"/>
  <c r="CM19" i="15"/>
  <c r="CK19" i="15" s="1"/>
  <c r="CM48" i="15"/>
  <c r="CM44" i="15"/>
  <c r="CM42" i="15"/>
  <c r="CM50" i="15"/>
  <c r="CM7" i="15"/>
  <c r="D31" i="18" l="1"/>
  <c r="A5" i="17"/>
  <c r="D3" i="17"/>
  <c r="C3" i="4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M22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K20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H17" i="11"/>
  <c r="G17" i="11"/>
  <c r="F17" i="11"/>
  <c r="E17" i="11"/>
  <c r="D17" i="11"/>
  <c r="C17" i="11"/>
  <c r="G16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E13" i="11"/>
  <c r="D13" i="11"/>
  <c r="C13" i="11"/>
  <c r="D12" i="11"/>
  <c r="C12" i="11"/>
  <c r="C11" i="1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  <c r="E11" i="1"/>
  <c r="D11" i="1"/>
  <c r="B11" i="1"/>
  <c r="E10" i="1"/>
  <c r="D10" i="1"/>
  <c r="B10" i="1"/>
  <c r="E9" i="1"/>
  <c r="D9" i="1"/>
  <c r="B9" i="1"/>
  <c r="E8" i="1"/>
  <c r="D8" i="1"/>
  <c r="B8" i="1"/>
  <c r="E7" i="1"/>
  <c r="D7" i="1"/>
  <c r="B7" i="1"/>
  <c r="E24" i="12" l="1"/>
  <c r="F24" i="12" s="1"/>
  <c r="E17" i="12"/>
  <c r="F17" i="12" s="1"/>
  <c r="C12" i="17"/>
  <c r="C13" i="17" l="1"/>
  <c r="D13" i="17" s="1"/>
  <c r="D12" i="17"/>
  <c r="C14" i="17"/>
  <c r="D14" i="17" s="1"/>
  <c r="D15" i="17" l="1"/>
  <c r="C15" i="17"/>
  <c r="Z40" i="15"/>
  <c r="Z48" i="15"/>
  <c r="Z53" i="15"/>
  <c r="Z39" i="15"/>
  <c r="Z42" i="15"/>
  <c r="Z55" i="15"/>
  <c r="AA55" i="15" s="1"/>
  <c r="Z50" i="15"/>
  <c r="AA50" i="15" s="1"/>
  <c r="Z57" i="15"/>
  <c r="AA57" i="15" s="1"/>
  <c r="Z35" i="15"/>
  <c r="AA35" i="15" s="1"/>
  <c r="Z49" i="15"/>
  <c r="AA49" i="15" s="1"/>
  <c r="Z58" i="15"/>
  <c r="Z54" i="15"/>
  <c r="Z24" i="15"/>
  <c r="Z46" i="15"/>
  <c r="Z36" i="15"/>
  <c r="Z15" i="15"/>
  <c r="Z51" i="15"/>
  <c r="AA51" i="15" s="1"/>
  <c r="Z33" i="15"/>
  <c r="AA33" i="15" s="1"/>
  <c r="Z59" i="15"/>
  <c r="AA59" i="15" s="1"/>
  <c r="Z34" i="15"/>
  <c r="AA34" i="15" s="1"/>
  <c r="Z43" i="15"/>
  <c r="AA43" i="15" s="1"/>
  <c r="Z30" i="15"/>
  <c r="AA30" i="15" s="1"/>
  <c r="Z29" i="15"/>
  <c r="Z44" i="15"/>
  <c r="Z31" i="15"/>
  <c r="Z19" i="15"/>
  <c r="Z45" i="15"/>
  <c r="Z37" i="15"/>
  <c r="AA37" i="15" s="1"/>
  <c r="Z21" i="15"/>
  <c r="AA21" i="15" s="1"/>
  <c r="Z26" i="15"/>
  <c r="AA26" i="15" s="1"/>
  <c r="Z6" i="15"/>
  <c r="AA6" i="15" s="1"/>
  <c r="Z9" i="15"/>
  <c r="AA9" i="15" s="1"/>
  <c r="Z13" i="15"/>
  <c r="AA13" i="15" s="1"/>
  <c r="Z28" i="15"/>
  <c r="AA28" i="15" s="1"/>
  <c r="Z27" i="15"/>
  <c r="Z47" i="15"/>
  <c r="Z10" i="15"/>
  <c r="Z17" i="15"/>
  <c r="Z20" i="15"/>
  <c r="AA20" i="15" s="1"/>
  <c r="Z56" i="15"/>
  <c r="Z32" i="15"/>
  <c r="AA32" i="15" s="1"/>
  <c r="Z12" i="15"/>
  <c r="AA12" i="15" s="1"/>
  <c r="AQ12" i="15" s="1"/>
  <c r="Z41" i="15"/>
  <c r="AA41" i="15" s="1"/>
  <c r="AQ41" i="15" s="1"/>
  <c r="Z16" i="15"/>
  <c r="AA16" i="15" s="1"/>
  <c r="Z18" i="15"/>
  <c r="AA18" i="15" s="1"/>
  <c r="AQ18" i="15" s="1"/>
  <c r="Z52" i="15"/>
  <c r="AA52" i="15" s="1"/>
  <c r="AQ52" i="15" s="1"/>
  <c r="Z38" i="15"/>
  <c r="Z8" i="15"/>
  <c r="AA8" i="15" s="1"/>
  <c r="AQ8" i="15" s="1"/>
  <c r="Z23" i="15"/>
  <c r="Z14" i="15"/>
  <c r="Z11" i="15"/>
  <c r="AA11" i="15" s="1"/>
  <c r="AQ11" i="15" s="1"/>
  <c r="B11" i="15" s="1"/>
  <c r="Z7" i="15"/>
  <c r="AA7" i="15" s="1"/>
  <c r="Z25" i="15"/>
  <c r="AA25" i="15" s="1"/>
  <c r="AQ25" i="15" s="1"/>
  <c r="Z5" i="15"/>
  <c r="AA5" i="15" s="1"/>
  <c r="AQ5" i="15" s="1"/>
  <c r="B5" i="15" s="1"/>
  <c r="Z4" i="15"/>
  <c r="AA4" i="15" s="1"/>
  <c r="AQ4" i="15" s="1"/>
  <c r="Z22" i="15"/>
  <c r="AA22" i="15" s="1"/>
  <c r="AC3" i="15"/>
  <c r="AX23" i="15" s="1"/>
  <c r="AY23" i="15" s="1"/>
  <c r="BF23" i="15" s="1"/>
  <c r="Y3" i="15"/>
  <c r="AX20" i="15" s="1"/>
  <c r="AY20" i="15" s="1"/>
  <c r="BF20" i="15" s="1"/>
  <c r="AX27" i="15"/>
  <c r="AY27" i="15" s="1"/>
  <c r="BF27" i="15" s="1"/>
  <c r="AX33" i="15"/>
  <c r="AY33" i="15" s="1"/>
  <c r="BF33" i="15" s="1"/>
  <c r="AX13" i="15"/>
  <c r="AY13" i="15" s="1"/>
  <c r="BF13" i="15" s="1"/>
  <c r="AA10" i="15"/>
  <c r="AX47" i="15"/>
  <c r="AY47" i="15" s="1"/>
  <c r="BF47" i="15" s="1"/>
  <c r="AA23" i="15"/>
  <c r="AQ23" i="15" s="1"/>
  <c r="AX25" i="15"/>
  <c r="AY25" i="15"/>
  <c r="BF25" i="15" s="1"/>
  <c r="AA42" i="15"/>
  <c r="AA31" i="15"/>
  <c r="AA58" i="15"/>
  <c r="AQ58" i="15" s="1"/>
  <c r="CA58" i="15" s="1"/>
  <c r="AX42" i="15"/>
  <c r="AY42" i="15" s="1"/>
  <c r="BF42" i="15" s="1"/>
  <c r="AX49" i="15"/>
  <c r="AY49" i="15" s="1"/>
  <c r="BF49" i="15" s="1"/>
  <c r="AX53" i="15"/>
  <c r="AY53" i="15" s="1"/>
  <c r="BF53" i="15" s="1"/>
  <c r="AX11" i="15"/>
  <c r="AY11" i="15" s="1"/>
  <c r="BF11" i="15" s="1"/>
  <c r="AX50" i="15"/>
  <c r="AY50" i="15" s="1"/>
  <c r="BF50" i="15" s="1"/>
  <c r="AA27" i="15"/>
  <c r="AX31" i="15"/>
  <c r="AY31" i="15" s="1"/>
  <c r="BF31" i="15" s="1"/>
  <c r="AX26" i="15"/>
  <c r="AY26" i="15" s="1"/>
  <c r="BF26" i="15" s="1"/>
  <c r="AX12" i="15"/>
  <c r="AY12" i="15" s="1"/>
  <c r="BF12" i="15" s="1"/>
  <c r="AX52" i="15"/>
  <c r="AY52" i="15" s="1"/>
  <c r="BF52" i="15" s="1"/>
  <c r="AX30" i="15"/>
  <c r="AY30" i="15" s="1"/>
  <c r="BF30" i="15" s="1"/>
  <c r="M30" i="15" s="1"/>
  <c r="AX38" i="15"/>
  <c r="AY38" i="15" s="1"/>
  <c r="BF38" i="15" s="1"/>
  <c r="M38" i="15" s="1"/>
  <c r="AA40" i="15"/>
  <c r="AX56" i="15"/>
  <c r="AY56" i="15" s="1"/>
  <c r="BF56" i="15" s="1"/>
  <c r="AX46" i="15"/>
  <c r="AY46" i="15" s="1"/>
  <c r="BF46" i="15" s="1"/>
  <c r="AA44" i="15"/>
  <c r="AX40" i="15"/>
  <c r="AY40" i="15" s="1"/>
  <c r="BF40" i="15" s="1"/>
  <c r="AX32" i="15"/>
  <c r="AY32" i="15" s="1"/>
  <c r="BF32" i="15" s="1"/>
  <c r="M32" i="15" s="1"/>
  <c r="AA14" i="15"/>
  <c r="AX57" i="15"/>
  <c r="AY57" i="15" s="1"/>
  <c r="BF57" i="15" s="1"/>
  <c r="AA45" i="15"/>
  <c r="AQ45" i="15" s="1"/>
  <c r="AX48" i="15"/>
  <c r="AY48" i="15" s="1"/>
  <c r="BF48" i="15" s="1"/>
  <c r="AX29" i="15"/>
  <c r="AY29" i="15" s="1"/>
  <c r="BF29" i="15" s="1"/>
  <c r="AX28" i="15"/>
  <c r="AY28" i="15" s="1"/>
  <c r="BF28" i="15" s="1"/>
  <c r="M28" i="15" s="1"/>
  <c r="AX55" i="15"/>
  <c r="AY55" i="15" s="1"/>
  <c r="BF55" i="15" s="1"/>
  <c r="M55" i="15" s="1"/>
  <c r="AX54" i="15"/>
  <c r="AA17" i="15"/>
  <c r="AQ17" i="15" s="1"/>
  <c r="AX7" i="15"/>
  <c r="AY7" i="15" s="1"/>
  <c r="BF7" i="15" s="1"/>
  <c r="AA24" i="15"/>
  <c r="AX44" i="15"/>
  <c r="AY44" i="15" s="1"/>
  <c r="BF44" i="15" s="1"/>
  <c r="M44" i="15" s="1"/>
  <c r="AA15" i="15"/>
  <c r="AA56" i="15"/>
  <c r="AX36" i="15"/>
  <c r="AY36" i="15" s="1"/>
  <c r="BF36" i="15" s="1"/>
  <c r="AA19" i="15"/>
  <c r="AX34" i="15"/>
  <c r="AY34" i="15" s="1"/>
  <c r="BF34" i="15" s="1"/>
  <c r="AX58" i="15"/>
  <c r="AY58" i="15" s="1"/>
  <c r="BF58" i="15" s="1"/>
  <c r="BF67" i="15" s="1"/>
  <c r="AX6" i="15"/>
  <c r="AY6" i="15" s="1"/>
  <c r="BF6" i="15" s="1"/>
  <c r="AA38" i="15"/>
  <c r="AQ38" i="15" s="1"/>
  <c r="AX41" i="15"/>
  <c r="AY41" i="15" s="1"/>
  <c r="BF41" i="15" s="1"/>
  <c r="AA39" i="15"/>
  <c r="AQ39" i="15" s="1"/>
  <c r="CA39" i="15" s="1"/>
  <c r="AX45" i="15"/>
  <c r="AY45" i="15" s="1"/>
  <c r="BF45" i="15" s="1"/>
  <c r="AA47" i="15"/>
  <c r="AX59" i="15"/>
  <c r="AY59" i="15" s="1"/>
  <c r="BF59" i="15" s="1"/>
  <c r="AX39" i="15"/>
  <c r="AY39" i="15" s="1"/>
  <c r="BF39" i="15" s="1"/>
  <c r="AX4" i="15"/>
  <c r="AY4" i="15" s="1"/>
  <c r="BF4" i="15" s="1"/>
  <c r="AA36" i="15"/>
  <c r="AQ36" i="15" s="1"/>
  <c r="AX35" i="15"/>
  <c r="AY35" i="15" s="1"/>
  <c r="BF35" i="15" s="1"/>
  <c r="AA46" i="15"/>
  <c r="AX10" i="15"/>
  <c r="AY10" i="15" s="1"/>
  <c r="BF10" i="15" s="1"/>
  <c r="AA48" i="15"/>
  <c r="AQ48" i="15" s="1"/>
  <c r="AA29" i="15"/>
  <c r="AQ29" i="15" s="1"/>
  <c r="AA53" i="15"/>
  <c r="AX43" i="15"/>
  <c r="AY43" i="15" s="1"/>
  <c r="BF43" i="15" s="1"/>
  <c r="AA54" i="15"/>
  <c r="AX51" i="15"/>
  <c r="AY51" i="15" s="1"/>
  <c r="BF51" i="15" s="1"/>
  <c r="AX37" i="15"/>
  <c r="AY37" i="15" s="1"/>
  <c r="BF37" i="15" s="1"/>
  <c r="AX9" i="15"/>
  <c r="AY9" i="15" s="1"/>
  <c r="BF9" i="15" s="1"/>
  <c r="AX8" i="15"/>
  <c r="AY8" i="15" s="1"/>
  <c r="BF8" i="15" s="1"/>
  <c r="AX5" i="15"/>
  <c r="AY5" i="15" s="1"/>
  <c r="BF5" i="15" s="1"/>
  <c r="AL3" i="15"/>
  <c r="AY54" i="15" l="1"/>
  <c r="BF54" i="15" s="1"/>
  <c r="AN19" i="15"/>
  <c r="AM4" i="15"/>
  <c r="AU37" i="15"/>
  <c r="F37" i="15" s="1"/>
  <c r="AS40" i="15"/>
  <c r="AS39" i="15"/>
  <c r="AT57" i="15"/>
  <c r="E57" i="15" s="1"/>
  <c r="AR56" i="15"/>
  <c r="C56" i="15" s="1"/>
  <c r="AN7" i="15"/>
  <c r="AT7" i="15" s="1"/>
  <c r="AU56" i="15"/>
  <c r="BQ56" i="15" s="1"/>
  <c r="AX21" i="15"/>
  <c r="AY21" i="15" s="1"/>
  <c r="BF21" i="15" s="1"/>
  <c r="M21" i="15" s="1"/>
  <c r="AX24" i="15"/>
  <c r="AY24" i="15" s="1"/>
  <c r="BF24" i="15" s="1"/>
  <c r="AT46" i="15"/>
  <c r="BP46" i="15" s="1"/>
  <c r="AX15" i="15"/>
  <c r="AY15" i="15" s="1"/>
  <c r="BF15" i="15" s="1"/>
  <c r="M15" i="15" s="1"/>
  <c r="AX18" i="15"/>
  <c r="AY18" i="15" s="1"/>
  <c r="BF18" i="15" s="1"/>
  <c r="M18" i="15" s="1"/>
  <c r="AX19" i="15"/>
  <c r="AY19" i="15" s="1"/>
  <c r="BF19" i="15" s="1"/>
  <c r="M19" i="15" s="1"/>
  <c r="AN13" i="15"/>
  <c r="AT13" i="15" s="1"/>
  <c r="AU34" i="15"/>
  <c r="F34" i="15" s="1"/>
  <c r="AO17" i="15"/>
  <c r="AU17" i="15" s="1"/>
  <c r="AU38" i="15"/>
  <c r="AX14" i="15"/>
  <c r="AY14" i="15" s="1"/>
  <c r="BF14" i="15" s="1"/>
  <c r="M14" i="15" s="1"/>
  <c r="AS47" i="15"/>
  <c r="AO24" i="15"/>
  <c r="AX16" i="15"/>
  <c r="AY16" i="15" s="1"/>
  <c r="BF16" i="15" s="1"/>
  <c r="AX17" i="15"/>
  <c r="AY17" i="15" s="1"/>
  <c r="BF17" i="15" s="1"/>
  <c r="M17" i="15" s="1"/>
  <c r="AX22" i="15"/>
  <c r="AY22" i="15" s="1"/>
  <c r="BF22" i="15" s="1"/>
  <c r="M22" i="15" s="1"/>
  <c r="BT48" i="15"/>
  <c r="B48" i="15"/>
  <c r="CA48" i="15"/>
  <c r="BT36" i="15"/>
  <c r="BM36" i="15"/>
  <c r="AO13" i="15"/>
  <c r="AU13" i="15" s="1"/>
  <c r="AT47" i="15"/>
  <c r="AT29" i="15"/>
  <c r="AT43" i="15"/>
  <c r="CD43" i="15" s="1"/>
  <c r="AR53" i="15"/>
  <c r="BM11" i="15"/>
  <c r="AR29" i="15"/>
  <c r="CB29" i="15" s="1"/>
  <c r="AN18" i="15"/>
  <c r="AT18" i="15" s="1"/>
  <c r="AM6" i="15"/>
  <c r="AS6" i="15" s="1"/>
  <c r="M5" i="15"/>
  <c r="M34" i="15"/>
  <c r="AQ53" i="15"/>
  <c r="M12" i="15"/>
  <c r="M39" i="15"/>
  <c r="M42" i="15"/>
  <c r="BT38" i="15"/>
  <c r="B38" i="15"/>
  <c r="CA38" i="15"/>
  <c r="BM38" i="15"/>
  <c r="M37" i="15"/>
  <c r="M45" i="15"/>
  <c r="AQ27" i="15"/>
  <c r="AQ15" i="15"/>
  <c r="BT41" i="15"/>
  <c r="B41" i="15"/>
  <c r="BM41" i="15"/>
  <c r="CA41" i="15"/>
  <c r="M51" i="15"/>
  <c r="M46" i="15"/>
  <c r="M6" i="15"/>
  <c r="M10" i="15"/>
  <c r="M4" i="15"/>
  <c r="M29" i="15"/>
  <c r="AQ9" i="15"/>
  <c r="M59" i="15"/>
  <c r="BF68" i="15"/>
  <c r="CA25" i="15"/>
  <c r="BM25" i="15"/>
  <c r="BT25" i="15"/>
  <c r="B25" i="15"/>
  <c r="M43" i="15"/>
  <c r="BT18" i="15"/>
  <c r="CA18" i="15"/>
  <c r="BM18" i="15"/>
  <c r="B18" i="15"/>
  <c r="M35" i="15"/>
  <c r="AQ26" i="15"/>
  <c r="BT45" i="15"/>
  <c r="CA45" i="15"/>
  <c r="BM45" i="15"/>
  <c r="B45" i="15"/>
  <c r="M8" i="15"/>
  <c r="M9" i="15"/>
  <c r="AS44" i="15"/>
  <c r="BT39" i="15"/>
  <c r="B39" i="15"/>
  <c r="BM39" i="15"/>
  <c r="M23" i="15"/>
  <c r="AQ32" i="15"/>
  <c r="CA29" i="15"/>
  <c r="BM29" i="15"/>
  <c r="B29" i="15"/>
  <c r="AS35" i="15"/>
  <c r="AQ35" i="15"/>
  <c r="AT19" i="15"/>
  <c r="AQ19" i="15"/>
  <c r="B17" i="15"/>
  <c r="CA17" i="15"/>
  <c r="BM17" i="15"/>
  <c r="CA4" i="15"/>
  <c r="BT4" i="15"/>
  <c r="B4" i="15"/>
  <c r="BM4" i="15"/>
  <c r="AQ54" i="15"/>
  <c r="AN24" i="15"/>
  <c r="AQ51" i="15"/>
  <c r="BM48" i="15"/>
  <c r="BT29" i="15"/>
  <c r="AQ24" i="15"/>
  <c r="AU24" i="15"/>
  <c r="AO5" i="15"/>
  <c r="AM11" i="15"/>
  <c r="AS11" i="15" s="1"/>
  <c r="BT17" i="15"/>
  <c r="AQ6" i="15"/>
  <c r="AQ40" i="15"/>
  <c r="M7" i="15"/>
  <c r="AM24" i="15"/>
  <c r="AS24" i="15" s="1"/>
  <c r="AS28" i="15"/>
  <c r="AQ43" i="15"/>
  <c r="M26" i="15"/>
  <c r="M56" i="15"/>
  <c r="BF65" i="15"/>
  <c r="BT8" i="15"/>
  <c r="CA8" i="15"/>
  <c r="B8" i="15"/>
  <c r="BM8" i="15"/>
  <c r="AQ46" i="15"/>
  <c r="B36" i="15"/>
  <c r="AT59" i="15"/>
  <c r="AO8" i="15"/>
  <c r="AO10" i="15"/>
  <c r="AT42" i="15"/>
  <c r="AT34" i="15"/>
  <c r="AL4" i="15"/>
  <c r="AR4" i="15" s="1"/>
  <c r="AT54" i="15"/>
  <c r="AN22" i="15"/>
  <c r="AN5" i="15"/>
  <c r="AT5" i="15" s="1"/>
  <c r="AU57" i="15"/>
  <c r="AR43" i="15"/>
  <c r="AO22" i="15"/>
  <c r="AM10" i="15"/>
  <c r="AS10" i="15" s="1"/>
  <c r="AO19" i="15"/>
  <c r="AR28" i="15"/>
  <c r="AU28" i="15"/>
  <c r="AN20" i="15"/>
  <c r="AT20" i="15" s="1"/>
  <c r="AM17" i="15"/>
  <c r="AT27" i="15"/>
  <c r="AR51" i="15"/>
  <c r="AT50" i="15"/>
  <c r="AR58" i="15"/>
  <c r="AM22" i="15"/>
  <c r="AR44" i="15"/>
  <c r="AR33" i="15"/>
  <c r="AM9" i="15"/>
  <c r="AT53" i="15"/>
  <c r="AT32" i="15"/>
  <c r="AR46" i="15"/>
  <c r="AU41" i="15"/>
  <c r="AL24" i="15"/>
  <c r="AR36" i="15"/>
  <c r="AR54" i="15"/>
  <c r="AL8" i="15"/>
  <c r="AN9" i="15"/>
  <c r="AL13" i="15"/>
  <c r="AS53" i="15"/>
  <c r="AR32" i="15"/>
  <c r="AU48" i="15"/>
  <c r="AM15" i="15"/>
  <c r="AM14" i="15"/>
  <c r="AN15" i="15"/>
  <c r="AO7" i="15"/>
  <c r="AU7" i="15" s="1"/>
  <c r="AU46" i="15"/>
  <c r="AR55" i="15"/>
  <c r="AU54" i="15"/>
  <c r="AL14" i="15"/>
  <c r="AR14" i="15" s="1"/>
  <c r="AL16" i="15"/>
  <c r="AR16" i="15" s="1"/>
  <c r="AN21" i="15"/>
  <c r="AL7" i="15"/>
  <c r="AR7" i="15" s="1"/>
  <c r="AU44" i="15"/>
  <c r="AT30" i="15"/>
  <c r="AS55" i="15"/>
  <c r="AN8" i="15"/>
  <c r="AL23" i="15"/>
  <c r="AO16" i="15"/>
  <c r="AT55" i="15"/>
  <c r="AS42" i="15"/>
  <c r="AL19" i="15"/>
  <c r="AR19" i="15" s="1"/>
  <c r="AM21" i="15"/>
  <c r="AS21" i="15" s="1"/>
  <c r="AL5" i="15"/>
  <c r="AL20" i="15"/>
  <c r="AM8" i="15"/>
  <c r="AN6" i="15"/>
  <c r="AT6" i="15" s="1"/>
  <c r="AO18" i="15"/>
  <c r="AU18" i="15" s="1"/>
  <c r="AN17" i="15"/>
  <c r="AT17" i="15" s="1"/>
  <c r="AL12" i="15"/>
  <c r="AR12" i="15" s="1"/>
  <c r="AR39" i="15"/>
  <c r="AM18" i="15"/>
  <c r="AL21" i="15"/>
  <c r="AL15" i="15"/>
  <c r="AT25" i="15"/>
  <c r="AM13" i="15"/>
  <c r="AS13" i="15" s="1"/>
  <c r="AR47" i="15"/>
  <c r="AM12" i="15"/>
  <c r="AN16" i="15"/>
  <c r="AM23" i="15"/>
  <c r="AS23" i="15" s="1"/>
  <c r="AN23" i="15"/>
  <c r="AT23" i="15" s="1"/>
  <c r="AL9" i="15"/>
  <c r="AR9" i="15" s="1"/>
  <c r="AU31" i="15"/>
  <c r="AT41" i="15"/>
  <c r="AO23" i="15"/>
  <c r="AU23" i="15" s="1"/>
  <c r="AS48" i="15"/>
  <c r="AL10" i="15"/>
  <c r="AR10" i="15" s="1"/>
  <c r="AR59" i="15"/>
  <c r="AM19" i="15"/>
  <c r="AS19" i="15" s="1"/>
  <c r="AU42" i="15"/>
  <c r="AO6" i="15"/>
  <c r="AU6" i="15" s="1"/>
  <c r="AT31" i="15"/>
  <c r="AL22" i="15"/>
  <c r="AR22" i="15" s="1"/>
  <c r="AN4" i="15"/>
  <c r="AT4" i="15" s="1"/>
  <c r="AL18" i="15"/>
  <c r="AR18" i="15" s="1"/>
  <c r="AO12" i="15"/>
  <c r="AU12" i="15" s="1"/>
  <c r="AL17" i="15"/>
  <c r="AR17" i="15" s="1"/>
  <c r="AN11" i="15"/>
  <c r="AN10" i="15"/>
  <c r="AT10" i="15" s="1"/>
  <c r="AL11" i="15"/>
  <c r="AM16" i="15"/>
  <c r="AM7" i="15"/>
  <c r="AU59" i="15"/>
  <c r="AO20" i="15"/>
  <c r="AU20" i="15" s="1"/>
  <c r="AS45" i="15"/>
  <c r="AL6" i="15"/>
  <c r="AR6" i="15" s="1"/>
  <c r="AM20" i="15"/>
  <c r="AS20" i="15" s="1"/>
  <c r="AO21" i="15"/>
  <c r="AU35" i="15"/>
  <c r="AQ47" i="15"/>
  <c r="M40" i="15"/>
  <c r="AQ22" i="15"/>
  <c r="M31" i="15"/>
  <c r="AN14" i="15"/>
  <c r="M53" i="15"/>
  <c r="BF62" i="15"/>
  <c r="AO4" i="15"/>
  <c r="AQ59" i="15"/>
  <c r="AQ31" i="15"/>
  <c r="M13" i="15"/>
  <c r="AQ37" i="15"/>
  <c r="CA36" i="15"/>
  <c r="AQ28" i="15"/>
  <c r="AT49" i="15"/>
  <c r="AS4" i="15"/>
  <c r="BB44" i="15" s="1"/>
  <c r="BH44" i="15" s="1"/>
  <c r="AQ56" i="15"/>
  <c r="AQ55" i="15"/>
  <c r="M49" i="15"/>
  <c r="AO15" i="15"/>
  <c r="M20" i="15"/>
  <c r="BF66" i="15"/>
  <c r="M57" i="15"/>
  <c r="M36" i="15"/>
  <c r="BF64" i="15"/>
  <c r="M48" i="15"/>
  <c r="AS37" i="15"/>
  <c r="AS50" i="15"/>
  <c r="AN12" i="15"/>
  <c r="AT12" i="15" s="1"/>
  <c r="AO11" i="15"/>
  <c r="AU11" i="15" s="1"/>
  <c r="M24" i="15"/>
  <c r="M41" i="15"/>
  <c r="AQ44" i="15"/>
  <c r="AS29" i="15"/>
  <c r="M58" i="15"/>
  <c r="AR50" i="15"/>
  <c r="AQ50" i="15"/>
  <c r="AO9" i="15"/>
  <c r="AQ20" i="15"/>
  <c r="AM5" i="15"/>
  <c r="AU49" i="15"/>
  <c r="AQ33" i="15"/>
  <c r="AT36" i="15"/>
  <c r="AQ13" i="15"/>
  <c r="M52" i="15"/>
  <c r="M25" i="15"/>
  <c r="M47" i="15"/>
  <c r="AO14" i="15"/>
  <c r="M50" i="15"/>
  <c r="AQ10" i="15"/>
  <c r="AU30" i="15"/>
  <c r="BT11" i="15"/>
  <c r="CA12" i="15"/>
  <c r="BM12" i="15"/>
  <c r="B12" i="15"/>
  <c r="BT12" i="15"/>
  <c r="AQ21" i="15"/>
  <c r="AQ14" i="15"/>
  <c r="AQ16" i="15"/>
  <c r="CA23" i="15"/>
  <c r="BM23" i="15"/>
  <c r="M27" i="15"/>
  <c r="CA11" i="15"/>
  <c r="M11" i="15"/>
  <c r="BT23" i="15"/>
  <c r="AQ57" i="15"/>
  <c r="AQ30" i="15"/>
  <c r="AQ49" i="15"/>
  <c r="AQ34" i="15"/>
  <c r="B23" i="15"/>
  <c r="M33" i="15"/>
  <c r="M16" i="15"/>
  <c r="AQ42" i="15"/>
  <c r="B58" i="15"/>
  <c r="BT58" i="15"/>
  <c r="BM58" i="15"/>
  <c r="AQ7" i="15"/>
  <c r="BT5" i="15"/>
  <c r="CA5" i="15"/>
  <c r="BM5" i="15"/>
  <c r="M54" i="15" l="1"/>
  <c r="BF63" i="15"/>
  <c r="BP57" i="15"/>
  <c r="BQ34" i="15"/>
  <c r="CE34" i="15"/>
  <c r="AR27" i="15"/>
  <c r="BA27" i="15"/>
  <c r="BX34" i="15"/>
  <c r="BW57" i="15"/>
  <c r="CD57" i="15"/>
  <c r="BU56" i="15"/>
  <c r="BN56" i="15"/>
  <c r="CB56" i="15"/>
  <c r="AU22" i="15"/>
  <c r="F56" i="15"/>
  <c r="BX56" i="15"/>
  <c r="CE56" i="15"/>
  <c r="CE37" i="15"/>
  <c r="BX37" i="15"/>
  <c r="BQ37" i="15"/>
  <c r="C29" i="15"/>
  <c r="BW29" i="15"/>
  <c r="BP29" i="15"/>
  <c r="BD9" i="15"/>
  <c r="BJ9" i="15" s="1"/>
  <c r="Q9" i="15" s="1"/>
  <c r="BD15" i="15"/>
  <c r="BJ15" i="15" s="1"/>
  <c r="Q15" i="15" s="1"/>
  <c r="BB26" i="15"/>
  <c r="BH26" i="15" s="1"/>
  <c r="BD4" i="15"/>
  <c r="BJ4" i="15" s="1"/>
  <c r="Q4" i="15" s="1"/>
  <c r="BB36" i="15"/>
  <c r="BH36" i="15" s="1"/>
  <c r="O36" i="15" s="1"/>
  <c r="BD40" i="15"/>
  <c r="BJ40" i="15" s="1"/>
  <c r="Q40" i="15" s="1"/>
  <c r="E43" i="15"/>
  <c r="BW43" i="15"/>
  <c r="BB6" i="15"/>
  <c r="BH6" i="15" s="1"/>
  <c r="O6" i="15" s="1"/>
  <c r="BD14" i="15"/>
  <c r="BJ14" i="15" s="1"/>
  <c r="Q14" i="15" s="1"/>
  <c r="E46" i="15"/>
  <c r="BP43" i="15"/>
  <c r="BW46" i="15"/>
  <c r="CE13" i="15"/>
  <c r="BQ13" i="15"/>
  <c r="F13" i="15"/>
  <c r="BX13" i="15"/>
  <c r="BB9" i="15"/>
  <c r="BH9" i="15" s="1"/>
  <c r="O9" i="15" s="1"/>
  <c r="BA26" i="15"/>
  <c r="BG26" i="15" s="1"/>
  <c r="BB41" i="15"/>
  <c r="BH41" i="15" s="1"/>
  <c r="O41" i="15" s="1"/>
  <c r="BA41" i="15"/>
  <c r="BG41" i="15" s="1"/>
  <c r="N41" i="15" s="1"/>
  <c r="BA8" i="15"/>
  <c r="BG8" i="15" s="1"/>
  <c r="N8" i="15" s="1"/>
  <c r="BA33" i="15"/>
  <c r="BG33" i="15" s="1"/>
  <c r="N33" i="15" s="1"/>
  <c r="BB27" i="15"/>
  <c r="BH27" i="15" s="1"/>
  <c r="O27" i="15" s="1"/>
  <c r="BB25" i="15"/>
  <c r="BH25" i="15" s="1"/>
  <c r="O25" i="15" s="1"/>
  <c r="BC59" i="15"/>
  <c r="BI59" i="15" s="1"/>
  <c r="P59" i="15" s="1"/>
  <c r="BA56" i="15"/>
  <c r="BG56" i="15" s="1"/>
  <c r="N56" i="15" s="1"/>
  <c r="AS27" i="15"/>
  <c r="E29" i="15"/>
  <c r="BB7" i="15"/>
  <c r="BH7" i="15" s="1"/>
  <c r="O7" i="15" s="1"/>
  <c r="BA23" i="15"/>
  <c r="BG23" i="15" s="1"/>
  <c r="S23" i="15" s="1"/>
  <c r="BA42" i="15"/>
  <c r="BG42" i="15" s="1"/>
  <c r="BA10" i="15"/>
  <c r="BG10" i="15" s="1"/>
  <c r="N10" i="15" s="1"/>
  <c r="BB38" i="15"/>
  <c r="BH38" i="15" s="1"/>
  <c r="O38" i="15" s="1"/>
  <c r="BD36" i="15"/>
  <c r="BJ36" i="15" s="1"/>
  <c r="Q36" i="15" s="1"/>
  <c r="BD51" i="15"/>
  <c r="BJ51" i="15" s="1"/>
  <c r="Q51" i="15" s="1"/>
  <c r="BD24" i="15"/>
  <c r="BJ24" i="15" s="1"/>
  <c r="Q24" i="15" s="1"/>
  <c r="BA11" i="15"/>
  <c r="BG11" i="15" s="1"/>
  <c r="N11" i="15" s="1"/>
  <c r="BB59" i="15"/>
  <c r="BH59" i="15" s="1"/>
  <c r="BD32" i="15"/>
  <c r="BJ32" i="15" s="1"/>
  <c r="Q32" i="15" s="1"/>
  <c r="BA38" i="15"/>
  <c r="BG38" i="15" s="1"/>
  <c r="N38" i="15" s="1"/>
  <c r="BA21" i="15"/>
  <c r="BG21" i="15" s="1"/>
  <c r="S21" i="15" s="1"/>
  <c r="BA5" i="15"/>
  <c r="BG5" i="15" s="1"/>
  <c r="S5" i="15" s="1"/>
  <c r="BC8" i="15"/>
  <c r="BI8" i="15" s="1"/>
  <c r="P8" i="15" s="1"/>
  <c r="BA14" i="15"/>
  <c r="BG14" i="15" s="1"/>
  <c r="N14" i="15" s="1"/>
  <c r="BC28" i="15"/>
  <c r="BI28" i="15" s="1"/>
  <c r="P28" i="15" s="1"/>
  <c r="BB56" i="15"/>
  <c r="BH56" i="15" s="1"/>
  <c r="BH65" i="15" s="1"/>
  <c r="BD50" i="15"/>
  <c r="BJ50" i="15" s="1"/>
  <c r="Q50" i="15" s="1"/>
  <c r="BD28" i="15"/>
  <c r="BJ28" i="15" s="1"/>
  <c r="Q28" i="15" s="1"/>
  <c r="BC43" i="15"/>
  <c r="BI43" i="15" s="1"/>
  <c r="P43" i="15" s="1"/>
  <c r="BC46" i="15"/>
  <c r="BI46" i="15" s="1"/>
  <c r="P46" i="15" s="1"/>
  <c r="BC47" i="15"/>
  <c r="BI47" i="15" s="1"/>
  <c r="BA37" i="15"/>
  <c r="BG37" i="15" s="1"/>
  <c r="N37" i="15" s="1"/>
  <c r="BC56" i="15"/>
  <c r="BI56" i="15" s="1"/>
  <c r="P56" i="15" s="1"/>
  <c r="BC11" i="15"/>
  <c r="BI11" i="15" s="1"/>
  <c r="P11" i="15" s="1"/>
  <c r="BB48" i="15"/>
  <c r="BH48" i="15" s="1"/>
  <c r="O48" i="15" s="1"/>
  <c r="BC16" i="15"/>
  <c r="BI16" i="15" s="1"/>
  <c r="P16" i="15" s="1"/>
  <c r="BB18" i="15"/>
  <c r="BH18" i="15" s="1"/>
  <c r="O18" i="15" s="1"/>
  <c r="BB21" i="15"/>
  <c r="BH21" i="15" s="1"/>
  <c r="BB55" i="15"/>
  <c r="BH55" i="15" s="1"/>
  <c r="BH64" i="15" s="1"/>
  <c r="BD54" i="15"/>
  <c r="BJ54" i="15" s="1"/>
  <c r="BJ63" i="15" s="1"/>
  <c r="BA36" i="15"/>
  <c r="BG36" i="15" s="1"/>
  <c r="S36" i="15" s="1"/>
  <c r="BB22" i="15"/>
  <c r="BH22" i="15" s="1"/>
  <c r="BA45" i="15"/>
  <c r="BG45" i="15" s="1"/>
  <c r="N45" i="15" s="1"/>
  <c r="BC35" i="15"/>
  <c r="BI35" i="15" s="1"/>
  <c r="P35" i="15" s="1"/>
  <c r="AS18" i="15"/>
  <c r="D18" i="15" s="1"/>
  <c r="BA53" i="15"/>
  <c r="BG53" i="15" s="1"/>
  <c r="S53" i="15" s="1"/>
  <c r="BN29" i="15"/>
  <c r="BD47" i="15"/>
  <c r="BJ47" i="15" s="1"/>
  <c r="Q47" i="15" s="1"/>
  <c r="BC52" i="15"/>
  <c r="BI52" i="15" s="1"/>
  <c r="P52" i="15" s="1"/>
  <c r="BD45" i="15"/>
  <c r="BJ45" i="15" s="1"/>
  <c r="Q45" i="15" s="1"/>
  <c r="BC57" i="15"/>
  <c r="BI57" i="15" s="1"/>
  <c r="BI66" i="15" s="1"/>
  <c r="BD37" i="15"/>
  <c r="BJ37" i="15" s="1"/>
  <c r="Q37" i="15" s="1"/>
  <c r="BC9" i="15"/>
  <c r="BI9" i="15" s="1"/>
  <c r="P9" i="15" s="1"/>
  <c r="BD8" i="15"/>
  <c r="BJ8" i="15" s="1"/>
  <c r="Q8" i="15" s="1"/>
  <c r="BD56" i="15"/>
  <c r="BJ56" i="15" s="1"/>
  <c r="Q56" i="15" s="1"/>
  <c r="BA15" i="15"/>
  <c r="BG15" i="15" s="1"/>
  <c r="AS41" i="15"/>
  <c r="D41" i="15" s="1"/>
  <c r="BD6" i="15"/>
  <c r="BJ6" i="15" s="1"/>
  <c r="Q6" i="15" s="1"/>
  <c r="BA31" i="15"/>
  <c r="BG31" i="15" s="1"/>
  <c r="N31" i="15" s="1"/>
  <c r="BC39" i="15"/>
  <c r="BI39" i="15" s="1"/>
  <c r="P39" i="15" s="1"/>
  <c r="BD29" i="15"/>
  <c r="BJ29" i="15" s="1"/>
  <c r="Q29" i="15" s="1"/>
  <c r="BA28" i="15"/>
  <c r="BG28" i="15" s="1"/>
  <c r="S28" i="15" s="1"/>
  <c r="AS36" i="15"/>
  <c r="BO36" i="15" s="1"/>
  <c r="BD27" i="15"/>
  <c r="BJ27" i="15" s="1"/>
  <c r="Q27" i="15" s="1"/>
  <c r="BB29" i="15"/>
  <c r="BH29" i="15" s="1"/>
  <c r="O29" i="15" s="1"/>
  <c r="CD46" i="15"/>
  <c r="AT9" i="15"/>
  <c r="BU29" i="15"/>
  <c r="BB49" i="15"/>
  <c r="BH49" i="15" s="1"/>
  <c r="O49" i="15" s="1"/>
  <c r="BC26" i="15"/>
  <c r="BI26" i="15" s="1"/>
  <c r="U26" i="15" s="1"/>
  <c r="BD10" i="15"/>
  <c r="BJ10" i="15" s="1"/>
  <c r="Q10" i="15" s="1"/>
  <c r="BC33" i="15"/>
  <c r="BI33" i="15" s="1"/>
  <c r="P33" i="15" s="1"/>
  <c r="BD25" i="15"/>
  <c r="BJ25" i="15" s="1"/>
  <c r="Q25" i="15" s="1"/>
  <c r="BA52" i="15"/>
  <c r="BG52" i="15" s="1"/>
  <c r="N52" i="15" s="1"/>
  <c r="BC23" i="15"/>
  <c r="BI23" i="15" s="1"/>
  <c r="P23" i="15" s="1"/>
  <c r="BD21" i="15"/>
  <c r="BJ21" i="15" s="1"/>
  <c r="Q21" i="15" s="1"/>
  <c r="BB57" i="15"/>
  <c r="BH57" i="15" s="1"/>
  <c r="O57" i="15" s="1"/>
  <c r="BB31" i="15"/>
  <c r="BH31" i="15" s="1"/>
  <c r="BB12" i="15"/>
  <c r="BH12" i="15" s="1"/>
  <c r="O12" i="15" s="1"/>
  <c r="BC30" i="15"/>
  <c r="BI30" i="15" s="1"/>
  <c r="P30" i="15" s="1"/>
  <c r="BB15" i="15"/>
  <c r="BH15" i="15" s="1"/>
  <c r="O15" i="15" s="1"/>
  <c r="BB43" i="15"/>
  <c r="BH43" i="15" s="1"/>
  <c r="O43" i="15" s="1"/>
  <c r="BC54" i="15"/>
  <c r="BI54" i="15" s="1"/>
  <c r="P54" i="15" s="1"/>
  <c r="AS43" i="15"/>
  <c r="D43" i="15" s="1"/>
  <c r="BC24" i="15"/>
  <c r="BI24" i="15" s="1"/>
  <c r="P24" i="15" s="1"/>
  <c r="CD29" i="15"/>
  <c r="F48" i="15"/>
  <c r="CE48" i="15"/>
  <c r="BX48" i="15"/>
  <c r="BQ48" i="15"/>
  <c r="BU6" i="15"/>
  <c r="C6" i="15"/>
  <c r="BN6" i="15"/>
  <c r="CB6" i="15"/>
  <c r="C9" i="15"/>
  <c r="BU9" i="15"/>
  <c r="CB9" i="15"/>
  <c r="BN9" i="15"/>
  <c r="BQ31" i="15"/>
  <c r="CE31" i="15"/>
  <c r="BX31" i="15"/>
  <c r="F31" i="15"/>
  <c r="F20" i="15"/>
  <c r="CE20" i="15"/>
  <c r="BX20" i="15"/>
  <c r="BQ20" i="15"/>
  <c r="BO53" i="15"/>
  <c r="BV53" i="15"/>
  <c r="D53" i="15"/>
  <c r="CC53" i="15"/>
  <c r="O44" i="15"/>
  <c r="CB22" i="15"/>
  <c r="C22" i="15"/>
  <c r="BN22" i="15"/>
  <c r="BU22" i="15"/>
  <c r="C7" i="15"/>
  <c r="BU7" i="15"/>
  <c r="BN7" i="15"/>
  <c r="CB7" i="15"/>
  <c r="B20" i="15"/>
  <c r="BM20" i="15"/>
  <c r="BT20" i="15"/>
  <c r="CA20" i="15"/>
  <c r="BC14" i="15"/>
  <c r="BI14" i="15" s="1"/>
  <c r="AT14" i="15"/>
  <c r="BM15" i="15"/>
  <c r="CA15" i="15"/>
  <c r="BT15" i="15"/>
  <c r="B15" i="15"/>
  <c r="BN36" i="15"/>
  <c r="CB36" i="15"/>
  <c r="BU36" i="15"/>
  <c r="C36" i="15"/>
  <c r="BT9" i="15"/>
  <c r="CA9" i="15"/>
  <c r="B9" i="15"/>
  <c r="BM9" i="15"/>
  <c r="BP12" i="15"/>
  <c r="BW12" i="15"/>
  <c r="CD12" i="15"/>
  <c r="E12" i="15"/>
  <c r="B7" i="15"/>
  <c r="CA7" i="15"/>
  <c r="BT7" i="15"/>
  <c r="BM7" i="15"/>
  <c r="AR42" i="15"/>
  <c r="BN14" i="15"/>
  <c r="C14" i="15"/>
  <c r="CB14" i="15"/>
  <c r="BU14" i="15"/>
  <c r="AU10" i="15"/>
  <c r="B33" i="15"/>
  <c r="BT33" i="15"/>
  <c r="BM33" i="15"/>
  <c r="CA33" i="15"/>
  <c r="BM50" i="15"/>
  <c r="B50" i="15"/>
  <c r="BT50" i="15"/>
  <c r="CA50" i="15"/>
  <c r="BP36" i="15"/>
  <c r="E36" i="15"/>
  <c r="CD36" i="15"/>
  <c r="BW36" i="15"/>
  <c r="C44" i="15"/>
  <c r="CB44" i="15"/>
  <c r="BU44" i="15"/>
  <c r="BN44" i="15"/>
  <c r="CB55" i="15"/>
  <c r="BN55" i="15"/>
  <c r="C55" i="15"/>
  <c r="BU55" i="15"/>
  <c r="AT28" i="15"/>
  <c r="AS34" i="15"/>
  <c r="BB34" i="15"/>
  <c r="BH34" i="15" s="1"/>
  <c r="BA34" i="15"/>
  <c r="BG34" i="15" s="1"/>
  <c r="AR34" i="15"/>
  <c r="BA57" i="15"/>
  <c r="BG57" i="15" s="1"/>
  <c r="AR57" i="15"/>
  <c r="BW6" i="15"/>
  <c r="BP6" i="15"/>
  <c r="E6" i="15"/>
  <c r="CD6" i="15"/>
  <c r="CD54" i="15"/>
  <c r="BP54" i="15"/>
  <c r="BW54" i="15"/>
  <c r="E54" i="15"/>
  <c r="AU9" i="15"/>
  <c r="B27" i="15"/>
  <c r="BM27" i="15"/>
  <c r="CA27" i="15"/>
  <c r="BT27" i="15"/>
  <c r="AU4" i="15"/>
  <c r="AR5" i="15"/>
  <c r="BX7" i="15"/>
  <c r="BQ7" i="15"/>
  <c r="F7" i="15"/>
  <c r="CE7" i="15"/>
  <c r="BU58" i="15"/>
  <c r="C58" i="15"/>
  <c r="BN58" i="15"/>
  <c r="CB58" i="15"/>
  <c r="AR23" i="15"/>
  <c r="AU14" i="15"/>
  <c r="AU21" i="15"/>
  <c r="AT33" i="15"/>
  <c r="AU50" i="15"/>
  <c r="AU36" i="15"/>
  <c r="CE57" i="15"/>
  <c r="BQ57" i="15"/>
  <c r="F57" i="15"/>
  <c r="BX57" i="15"/>
  <c r="E55" i="15"/>
  <c r="BW55" i="15"/>
  <c r="CD55" i="15"/>
  <c r="BP55" i="15"/>
  <c r="D28" i="15"/>
  <c r="CC28" i="15"/>
  <c r="BV28" i="15"/>
  <c r="BO28" i="15"/>
  <c r="AT24" i="15"/>
  <c r="BD35" i="15"/>
  <c r="BJ35" i="15" s="1"/>
  <c r="Q35" i="15" s="1"/>
  <c r="BC10" i="15"/>
  <c r="BI10" i="15" s="1"/>
  <c r="BC31" i="15"/>
  <c r="BI31" i="15" s="1"/>
  <c r="BC38" i="15"/>
  <c r="BI38" i="15" s="1"/>
  <c r="AT38" i="15"/>
  <c r="BB23" i="15"/>
  <c r="BH23" i="15" s="1"/>
  <c r="BB46" i="15"/>
  <c r="BH46" i="15" s="1"/>
  <c r="BA20" i="15"/>
  <c r="BG20" i="15" s="1"/>
  <c r="AR20" i="15"/>
  <c r="BC48" i="15"/>
  <c r="BI48" i="15" s="1"/>
  <c r="AT48" i="15"/>
  <c r="BA16" i="15"/>
  <c r="BG16" i="15" s="1"/>
  <c r="BC15" i="15"/>
  <c r="BI15" i="15" s="1"/>
  <c r="BA54" i="15"/>
  <c r="BG54" i="15" s="1"/>
  <c r="BA44" i="15"/>
  <c r="BG44" i="15" s="1"/>
  <c r="BC20" i="15"/>
  <c r="BI20" i="15" s="1"/>
  <c r="BC5" i="15"/>
  <c r="BI5" i="15" s="1"/>
  <c r="BO6" i="15"/>
  <c r="CC6" i="15"/>
  <c r="BV6" i="15"/>
  <c r="D6" i="15"/>
  <c r="AU5" i="15"/>
  <c r="BD5" i="15"/>
  <c r="BJ5" i="15" s="1"/>
  <c r="Q5" i="15" s="1"/>
  <c r="B54" i="15"/>
  <c r="BM54" i="15"/>
  <c r="CA54" i="15"/>
  <c r="BT54" i="15"/>
  <c r="AS9" i="15"/>
  <c r="AU27" i="15"/>
  <c r="BB40" i="15"/>
  <c r="BH40" i="15" s="1"/>
  <c r="CE11" i="15"/>
  <c r="BQ11" i="15"/>
  <c r="F11" i="15"/>
  <c r="BX11" i="15"/>
  <c r="BN19" i="15"/>
  <c r="CB19" i="15"/>
  <c r="C19" i="15"/>
  <c r="BU19" i="15"/>
  <c r="CD41" i="15"/>
  <c r="E41" i="15"/>
  <c r="BW41" i="15"/>
  <c r="BP41" i="15"/>
  <c r="CE41" i="15"/>
  <c r="BX41" i="15"/>
  <c r="BQ41" i="15"/>
  <c r="F41" i="15"/>
  <c r="BB16" i="15"/>
  <c r="BH16" i="15" s="1"/>
  <c r="AS16" i="15"/>
  <c r="BO55" i="15"/>
  <c r="BV55" i="15"/>
  <c r="CC55" i="15"/>
  <c r="D55" i="15"/>
  <c r="BH68" i="15"/>
  <c r="O59" i="15"/>
  <c r="BP34" i="15"/>
  <c r="E34" i="15"/>
  <c r="BW34" i="15"/>
  <c r="CD34" i="15"/>
  <c r="BO21" i="15"/>
  <c r="BV21" i="15"/>
  <c r="D21" i="15"/>
  <c r="CC21" i="15"/>
  <c r="CD50" i="15"/>
  <c r="BW50" i="15"/>
  <c r="E50" i="15"/>
  <c r="BP50" i="15"/>
  <c r="BC22" i="15"/>
  <c r="BI22" i="15" s="1"/>
  <c r="AT22" i="15"/>
  <c r="BO24" i="15"/>
  <c r="CC24" i="15"/>
  <c r="D24" i="15"/>
  <c r="BV24" i="15"/>
  <c r="BM53" i="15"/>
  <c r="CA53" i="15"/>
  <c r="BT53" i="15"/>
  <c r="B53" i="15"/>
  <c r="E23" i="15"/>
  <c r="BW23" i="15"/>
  <c r="BP23" i="15"/>
  <c r="CD23" i="15"/>
  <c r="BQ17" i="15"/>
  <c r="F17" i="15"/>
  <c r="BX17" i="15"/>
  <c r="CE17" i="15"/>
  <c r="BM52" i="15"/>
  <c r="BT52" i="15"/>
  <c r="CA52" i="15"/>
  <c r="B52" i="15"/>
  <c r="C18" i="15"/>
  <c r="BU18" i="15"/>
  <c r="CB18" i="15"/>
  <c r="BN18" i="15"/>
  <c r="BM32" i="15"/>
  <c r="BT32" i="15"/>
  <c r="B32" i="15"/>
  <c r="CA32" i="15"/>
  <c r="BN28" i="15"/>
  <c r="BU28" i="15"/>
  <c r="C28" i="15"/>
  <c r="CB28" i="15"/>
  <c r="BX23" i="15"/>
  <c r="F23" i="15"/>
  <c r="CE23" i="15"/>
  <c r="BQ23" i="15"/>
  <c r="E30" i="15"/>
  <c r="CD30" i="15"/>
  <c r="BW30" i="15"/>
  <c r="BP30" i="15"/>
  <c r="AS56" i="15"/>
  <c r="BA30" i="15"/>
  <c r="BG30" i="15" s="1"/>
  <c r="AR30" i="15"/>
  <c r="BC44" i="15"/>
  <c r="BI44" i="15" s="1"/>
  <c r="U44" i="15" s="1"/>
  <c r="AT44" i="15"/>
  <c r="BP32" i="15"/>
  <c r="CD32" i="15"/>
  <c r="E32" i="15"/>
  <c r="BW32" i="15"/>
  <c r="AR26" i="15"/>
  <c r="CB53" i="15"/>
  <c r="C53" i="15"/>
  <c r="BN53" i="15"/>
  <c r="BU53" i="15"/>
  <c r="C16" i="15"/>
  <c r="BU16" i="15"/>
  <c r="BN16" i="15"/>
  <c r="CB16" i="15"/>
  <c r="BD11" i="15"/>
  <c r="BJ11" i="15" s="1"/>
  <c r="Q11" i="15" s="1"/>
  <c r="BV37" i="15"/>
  <c r="BO37" i="15"/>
  <c r="CC37" i="15"/>
  <c r="D37" i="15"/>
  <c r="BT59" i="15"/>
  <c r="B59" i="15"/>
  <c r="CA59" i="15"/>
  <c r="BM59" i="15"/>
  <c r="BX22" i="15"/>
  <c r="CE22" i="15"/>
  <c r="BQ22" i="15"/>
  <c r="F22" i="15"/>
  <c r="AT39" i="15"/>
  <c r="BB20" i="15"/>
  <c r="BH20" i="15" s="1"/>
  <c r="BA17" i="15"/>
  <c r="BG17" i="15" s="1"/>
  <c r="BD42" i="15"/>
  <c r="BJ42" i="15" s="1"/>
  <c r="Q42" i="15" s="1"/>
  <c r="BD23" i="15"/>
  <c r="BJ23" i="15" s="1"/>
  <c r="Q23" i="15" s="1"/>
  <c r="BA47" i="15"/>
  <c r="BG47" i="15" s="1"/>
  <c r="BA39" i="15"/>
  <c r="BG39" i="15" s="1"/>
  <c r="BA19" i="15"/>
  <c r="BG19" i="15" s="1"/>
  <c r="BB30" i="15"/>
  <c r="BH30" i="15" s="1"/>
  <c r="AS30" i="15"/>
  <c r="BA55" i="15"/>
  <c r="BG55" i="15" s="1"/>
  <c r="BD48" i="15"/>
  <c r="BJ48" i="15" s="1"/>
  <c r="Q48" i="15" s="1"/>
  <c r="BA24" i="15"/>
  <c r="BG24" i="15" s="1"/>
  <c r="BA58" i="15"/>
  <c r="BG58" i="15" s="1"/>
  <c r="BD19" i="15"/>
  <c r="BJ19" i="15" s="1"/>
  <c r="Q19" i="15" s="1"/>
  <c r="AU19" i="15"/>
  <c r="BC40" i="15"/>
  <c r="BI40" i="15" s="1"/>
  <c r="CA43" i="15"/>
  <c r="B43" i="15"/>
  <c r="BT43" i="15"/>
  <c r="BM43" i="15"/>
  <c r="CA40" i="15"/>
  <c r="BT40" i="15"/>
  <c r="B40" i="15"/>
  <c r="BM40" i="15"/>
  <c r="BP18" i="15"/>
  <c r="BW18" i="15"/>
  <c r="CD18" i="15"/>
  <c r="E18" i="15"/>
  <c r="AR24" i="15"/>
  <c r="CD19" i="15"/>
  <c r="E19" i="15"/>
  <c r="BW19" i="15"/>
  <c r="BP19" i="15"/>
  <c r="AU32" i="15"/>
  <c r="BC29" i="15"/>
  <c r="BI29" i="15" s="1"/>
  <c r="CA26" i="15"/>
  <c r="B26" i="15"/>
  <c r="BM26" i="15"/>
  <c r="BT26" i="15"/>
  <c r="E47" i="15"/>
  <c r="BW47" i="15"/>
  <c r="CD47" i="15"/>
  <c r="BP47" i="15"/>
  <c r="BB35" i="15"/>
  <c r="BH35" i="15" s="1"/>
  <c r="BB4" i="15"/>
  <c r="BH4" i="15" s="1"/>
  <c r="BO10" i="15"/>
  <c r="BV10" i="15"/>
  <c r="CC10" i="15"/>
  <c r="D10" i="15"/>
  <c r="CC45" i="15"/>
  <c r="BO45" i="15"/>
  <c r="BV45" i="15"/>
  <c r="D45" i="15"/>
  <c r="BX28" i="15"/>
  <c r="BQ28" i="15"/>
  <c r="CE28" i="15"/>
  <c r="F28" i="15"/>
  <c r="BU46" i="15"/>
  <c r="C46" i="15"/>
  <c r="CB46" i="15"/>
  <c r="BN46" i="15"/>
  <c r="BP7" i="15"/>
  <c r="CD7" i="15"/>
  <c r="BW7" i="15"/>
  <c r="E7" i="15"/>
  <c r="B57" i="15"/>
  <c r="BT57" i="15"/>
  <c r="BM57" i="15"/>
  <c r="CA57" i="15"/>
  <c r="CB10" i="15"/>
  <c r="BN10" i="15"/>
  <c r="BU10" i="15"/>
  <c r="C10" i="15"/>
  <c r="C33" i="15"/>
  <c r="CB33" i="15"/>
  <c r="BN33" i="15"/>
  <c r="BU33" i="15"/>
  <c r="BM28" i="15"/>
  <c r="B28" i="15"/>
  <c r="CA28" i="15"/>
  <c r="BT28" i="15"/>
  <c r="BC21" i="15"/>
  <c r="BI21" i="15" s="1"/>
  <c r="AT21" i="15"/>
  <c r="BB17" i="15"/>
  <c r="BH17" i="15" s="1"/>
  <c r="AS17" i="15"/>
  <c r="BO23" i="15"/>
  <c r="BV23" i="15"/>
  <c r="D23" i="15"/>
  <c r="CC23" i="15"/>
  <c r="BT14" i="15"/>
  <c r="CA14" i="15"/>
  <c r="BM14" i="15"/>
  <c r="B14" i="15"/>
  <c r="CE49" i="15"/>
  <c r="BQ49" i="15"/>
  <c r="BX49" i="15"/>
  <c r="F49" i="15"/>
  <c r="CB54" i="15"/>
  <c r="C54" i="15"/>
  <c r="BN54" i="15"/>
  <c r="BU54" i="15"/>
  <c r="C32" i="15"/>
  <c r="BU32" i="15"/>
  <c r="BN32" i="15"/>
  <c r="CB32" i="15"/>
  <c r="CD27" i="15"/>
  <c r="E27" i="15"/>
  <c r="BW27" i="15"/>
  <c r="BP27" i="15"/>
  <c r="B34" i="15"/>
  <c r="BT34" i="15"/>
  <c r="CA34" i="15"/>
  <c r="BM34" i="15"/>
  <c r="AR21" i="15"/>
  <c r="BQ46" i="15"/>
  <c r="F46" i="15"/>
  <c r="CE46" i="15"/>
  <c r="BX46" i="15"/>
  <c r="BN50" i="15"/>
  <c r="CB50" i="15"/>
  <c r="BU50" i="15"/>
  <c r="C50" i="15"/>
  <c r="AT56" i="15"/>
  <c r="CC39" i="15"/>
  <c r="D39" i="15"/>
  <c r="BO39" i="15"/>
  <c r="BV39" i="15"/>
  <c r="BN59" i="15"/>
  <c r="CB59" i="15"/>
  <c r="BU59" i="15"/>
  <c r="C59" i="15"/>
  <c r="BB58" i="15"/>
  <c r="BH58" i="15" s="1"/>
  <c r="AS58" i="15"/>
  <c r="CE24" i="15"/>
  <c r="BX24" i="15"/>
  <c r="F24" i="15"/>
  <c r="BQ24" i="15"/>
  <c r="BO27" i="15"/>
  <c r="BV27" i="15"/>
  <c r="CC27" i="15"/>
  <c r="D27" i="15"/>
  <c r="CD53" i="15"/>
  <c r="BW53" i="15"/>
  <c r="BP53" i="15"/>
  <c r="E53" i="15"/>
  <c r="BD53" i="15"/>
  <c r="BJ53" i="15" s="1"/>
  <c r="AU53" i="15"/>
  <c r="BC37" i="15"/>
  <c r="BI37" i="15" s="1"/>
  <c r="AT37" i="15"/>
  <c r="C43" i="15"/>
  <c r="CB43" i="15"/>
  <c r="BN43" i="15"/>
  <c r="BU43" i="15"/>
  <c r="BX18" i="15"/>
  <c r="F18" i="15"/>
  <c r="CE18" i="15"/>
  <c r="BQ18" i="15"/>
  <c r="BV19" i="15"/>
  <c r="CC19" i="15"/>
  <c r="BO19" i="15"/>
  <c r="D19" i="15"/>
  <c r="F42" i="15"/>
  <c r="BX42" i="15"/>
  <c r="BQ42" i="15"/>
  <c r="CE42" i="15"/>
  <c r="BT49" i="15"/>
  <c r="CA49" i="15"/>
  <c r="B49" i="15"/>
  <c r="BM49" i="15"/>
  <c r="BT21" i="15"/>
  <c r="BM21" i="15"/>
  <c r="B21" i="15"/>
  <c r="CA21" i="15"/>
  <c r="F30" i="15"/>
  <c r="BX30" i="15"/>
  <c r="CE30" i="15"/>
  <c r="BQ30" i="15"/>
  <c r="BW13" i="15"/>
  <c r="E13" i="15"/>
  <c r="BP13" i="15"/>
  <c r="CD13" i="15"/>
  <c r="AS25" i="15"/>
  <c r="B56" i="15"/>
  <c r="BM56" i="15"/>
  <c r="BT56" i="15"/>
  <c r="CA56" i="15"/>
  <c r="E42" i="15"/>
  <c r="BP42" i="15"/>
  <c r="BW42" i="15"/>
  <c r="CD42" i="15"/>
  <c r="BW49" i="15"/>
  <c r="E49" i="15"/>
  <c r="CD49" i="15"/>
  <c r="BP49" i="15"/>
  <c r="AT16" i="15"/>
  <c r="CC42" i="15"/>
  <c r="D42" i="15"/>
  <c r="BO42" i="15"/>
  <c r="BV42" i="15"/>
  <c r="AS38" i="15"/>
  <c r="CA13" i="15"/>
  <c r="B13" i="15"/>
  <c r="BM13" i="15"/>
  <c r="BT13" i="15"/>
  <c r="E25" i="15"/>
  <c r="CD25" i="15"/>
  <c r="BW25" i="15"/>
  <c r="BP25" i="15"/>
  <c r="BC12" i="15"/>
  <c r="BI12" i="15" s="1"/>
  <c r="C4" i="15"/>
  <c r="BN4" i="15"/>
  <c r="CB4" i="15"/>
  <c r="BU4" i="15"/>
  <c r="AR37" i="15"/>
  <c r="AS31" i="15"/>
  <c r="BV47" i="15"/>
  <c r="CC47" i="15"/>
  <c r="D47" i="15"/>
  <c r="BO47" i="15"/>
  <c r="BA6" i="15"/>
  <c r="BG6" i="15" s="1"/>
  <c r="BD12" i="15"/>
  <c r="BJ12" i="15" s="1"/>
  <c r="Q12" i="15" s="1"/>
  <c r="BB19" i="15"/>
  <c r="BH19" i="15" s="1"/>
  <c r="BC41" i="15"/>
  <c r="BI41" i="15" s="1"/>
  <c r="AU58" i="15"/>
  <c r="BD58" i="15"/>
  <c r="BJ58" i="15" s="1"/>
  <c r="BA12" i="15"/>
  <c r="BG12" i="15" s="1"/>
  <c r="BD30" i="15"/>
  <c r="BJ30" i="15" s="1"/>
  <c r="Q30" i="15" s="1"/>
  <c r="BA35" i="15"/>
  <c r="BG35" i="15" s="1"/>
  <c r="BD46" i="15"/>
  <c r="BJ46" i="15" s="1"/>
  <c r="Q46" i="15" s="1"/>
  <c r="BA32" i="15"/>
  <c r="BG32" i="15" s="1"/>
  <c r="BD41" i="15"/>
  <c r="BJ41" i="15" s="1"/>
  <c r="Q41" i="15" s="1"/>
  <c r="BC50" i="15"/>
  <c r="BI50" i="15" s="1"/>
  <c r="BB10" i="15"/>
  <c r="BH10" i="15" s="1"/>
  <c r="BB54" i="15"/>
  <c r="BH54" i="15" s="1"/>
  <c r="AS54" i="15"/>
  <c r="BB28" i="15"/>
  <c r="BH28" i="15" s="1"/>
  <c r="AT40" i="15"/>
  <c r="AR35" i="15"/>
  <c r="BC18" i="15"/>
  <c r="BI18" i="15" s="1"/>
  <c r="BA50" i="15"/>
  <c r="BG50" i="15" s="1"/>
  <c r="AT26" i="15"/>
  <c r="BD38" i="15"/>
  <c r="BJ38" i="15" s="1"/>
  <c r="Q38" i="15" s="1"/>
  <c r="AS15" i="15"/>
  <c r="BB8" i="15"/>
  <c r="BH8" i="15" s="1"/>
  <c r="AS8" i="15"/>
  <c r="BA49" i="15"/>
  <c r="BG49" i="15" s="1"/>
  <c r="AR49" i="15"/>
  <c r="CA6" i="15"/>
  <c r="B6" i="15"/>
  <c r="BM6" i="15"/>
  <c r="BT6" i="15"/>
  <c r="CC11" i="15"/>
  <c r="BV11" i="15"/>
  <c r="BO11" i="15"/>
  <c r="D11" i="15"/>
  <c r="BA22" i="15"/>
  <c r="BG22" i="15" s="1"/>
  <c r="BB33" i="15"/>
  <c r="BH33" i="15" s="1"/>
  <c r="AS33" i="15"/>
  <c r="C27" i="15"/>
  <c r="CB27" i="15"/>
  <c r="BU27" i="15"/>
  <c r="BN27" i="15"/>
  <c r="B44" i="15"/>
  <c r="BM44" i="15"/>
  <c r="CA44" i="15"/>
  <c r="BT44" i="15"/>
  <c r="BP31" i="15"/>
  <c r="BW31" i="15"/>
  <c r="CD31" i="15"/>
  <c r="E31" i="15"/>
  <c r="CD59" i="15"/>
  <c r="E59" i="15"/>
  <c r="BP59" i="15"/>
  <c r="BW59" i="15"/>
  <c r="AS7" i="15"/>
  <c r="AR41" i="15"/>
  <c r="AR31" i="15"/>
  <c r="D4" i="15"/>
  <c r="CC4" i="15"/>
  <c r="BV4" i="15"/>
  <c r="BO4" i="15"/>
  <c r="BD49" i="15"/>
  <c r="BJ49" i="15" s="1"/>
  <c r="Q49" i="15" s="1"/>
  <c r="BA29" i="15"/>
  <c r="BG29" i="15" s="1"/>
  <c r="BD13" i="15"/>
  <c r="BJ13" i="15" s="1"/>
  <c r="Q13" i="15" s="1"/>
  <c r="BD34" i="15"/>
  <c r="BJ34" i="15" s="1"/>
  <c r="Q34" i="15" s="1"/>
  <c r="BC19" i="15"/>
  <c r="BI19" i="15" s="1"/>
  <c r="B22" i="15"/>
  <c r="BT22" i="15"/>
  <c r="BM22" i="15"/>
  <c r="CA22" i="15"/>
  <c r="CB47" i="15"/>
  <c r="BU47" i="15"/>
  <c r="C47" i="15"/>
  <c r="BN47" i="15"/>
  <c r="BB45" i="15"/>
  <c r="BH45" i="15" s="1"/>
  <c r="BC58" i="15"/>
  <c r="BI58" i="15" s="1"/>
  <c r="AT58" i="15"/>
  <c r="BD55" i="15"/>
  <c r="BJ55" i="15" s="1"/>
  <c r="AU55" i="15"/>
  <c r="BD31" i="15"/>
  <c r="BJ31" i="15" s="1"/>
  <c r="Q31" i="15" s="1"/>
  <c r="BD39" i="15"/>
  <c r="BJ39" i="15" s="1"/>
  <c r="Q39" i="15" s="1"/>
  <c r="AU39" i="15"/>
  <c r="BC17" i="15"/>
  <c r="BI17" i="15" s="1"/>
  <c r="BB42" i="15"/>
  <c r="BH42" i="15" s="1"/>
  <c r="BD44" i="15"/>
  <c r="BJ44" i="15" s="1"/>
  <c r="Q44" i="15" s="1"/>
  <c r="BA40" i="15"/>
  <c r="BG40" i="15" s="1"/>
  <c r="BB53" i="15"/>
  <c r="BH53" i="15" s="1"/>
  <c r="BA46" i="15"/>
  <c r="BG46" i="15" s="1"/>
  <c r="BD52" i="15"/>
  <c r="BJ52" i="15" s="1"/>
  <c r="Q52" i="15" s="1"/>
  <c r="AU52" i="15"/>
  <c r="BD22" i="15"/>
  <c r="BJ22" i="15" s="1"/>
  <c r="Q22" i="15" s="1"/>
  <c r="BA4" i="15"/>
  <c r="BG4" i="15" s="1"/>
  <c r="BB24" i="15"/>
  <c r="BH24" i="15" s="1"/>
  <c r="AR40" i="15"/>
  <c r="AR8" i="15"/>
  <c r="BT35" i="15"/>
  <c r="B35" i="15"/>
  <c r="BM35" i="15"/>
  <c r="CA35" i="15"/>
  <c r="AS26" i="15"/>
  <c r="BB39" i="15"/>
  <c r="BH39" i="15" s="1"/>
  <c r="BC7" i="15"/>
  <c r="BI7" i="15" s="1"/>
  <c r="AT15" i="15"/>
  <c r="C17" i="15"/>
  <c r="CB17" i="15"/>
  <c r="BN17" i="15"/>
  <c r="BU17" i="15"/>
  <c r="BC45" i="15"/>
  <c r="BI45" i="15" s="1"/>
  <c r="AT45" i="15"/>
  <c r="BX35" i="15"/>
  <c r="BQ35" i="15"/>
  <c r="F35" i="15"/>
  <c r="CE35" i="15"/>
  <c r="BX38" i="15"/>
  <c r="CE38" i="15"/>
  <c r="BQ38" i="15"/>
  <c r="F38" i="15"/>
  <c r="CC48" i="15"/>
  <c r="BV48" i="15"/>
  <c r="D48" i="15"/>
  <c r="BO48" i="15"/>
  <c r="BD33" i="15"/>
  <c r="BJ33" i="15" s="1"/>
  <c r="Q33" i="15" s="1"/>
  <c r="AU33" i="15"/>
  <c r="F6" i="15"/>
  <c r="BX6" i="15"/>
  <c r="BQ6" i="15"/>
  <c r="CE6" i="15"/>
  <c r="BM42" i="15"/>
  <c r="BT42" i="15"/>
  <c r="CA42" i="15"/>
  <c r="B42" i="15"/>
  <c r="AS5" i="15"/>
  <c r="BB5" i="15"/>
  <c r="BH5" i="15" s="1"/>
  <c r="BQ44" i="15"/>
  <c r="CE44" i="15"/>
  <c r="F44" i="15"/>
  <c r="BX44" i="15"/>
  <c r="BB14" i="15"/>
  <c r="BH14" i="15" s="1"/>
  <c r="AS14" i="15"/>
  <c r="AS49" i="15"/>
  <c r="CD17" i="15"/>
  <c r="BW17" i="15"/>
  <c r="BP17" i="15"/>
  <c r="E17" i="15"/>
  <c r="AU25" i="15"/>
  <c r="B37" i="15"/>
  <c r="BT37" i="15"/>
  <c r="BM37" i="15"/>
  <c r="CA37" i="15"/>
  <c r="BX59" i="15"/>
  <c r="CE59" i="15"/>
  <c r="F59" i="15"/>
  <c r="BQ59" i="15"/>
  <c r="BU39" i="15"/>
  <c r="C39" i="15"/>
  <c r="BN39" i="15"/>
  <c r="CB39" i="15"/>
  <c r="AS12" i="15"/>
  <c r="B30" i="15"/>
  <c r="BT30" i="15"/>
  <c r="BM30" i="15"/>
  <c r="CA30" i="15"/>
  <c r="BT16" i="15"/>
  <c r="BM16" i="15"/>
  <c r="CA16" i="15"/>
  <c r="B16" i="15"/>
  <c r="AR38" i="15"/>
  <c r="CC13" i="15"/>
  <c r="BV13" i="15"/>
  <c r="D13" i="15"/>
  <c r="BO13" i="15"/>
  <c r="AT8" i="15"/>
  <c r="AR11" i="15"/>
  <c r="BO20" i="15"/>
  <c r="D20" i="15"/>
  <c r="BV20" i="15"/>
  <c r="CC20" i="15"/>
  <c r="AR45" i="15"/>
  <c r="BW4" i="15"/>
  <c r="CD4" i="15"/>
  <c r="E4" i="15"/>
  <c r="BP4" i="15"/>
  <c r="AS22" i="15"/>
  <c r="AU47" i="15"/>
  <c r="BA18" i="15"/>
  <c r="BG18" i="15" s="1"/>
  <c r="BA59" i="15"/>
  <c r="BG59" i="15" s="1"/>
  <c r="AS51" i="15"/>
  <c r="BB51" i="15"/>
  <c r="BH51" i="15" s="1"/>
  <c r="BB13" i="15"/>
  <c r="BH13" i="15" s="1"/>
  <c r="BD18" i="15"/>
  <c r="BJ18" i="15" s="1"/>
  <c r="Q18" i="15" s="1"/>
  <c r="BC55" i="15"/>
  <c r="BI55" i="15" s="1"/>
  <c r="BD26" i="15"/>
  <c r="BJ26" i="15" s="1"/>
  <c r="Q26" i="15" s="1"/>
  <c r="BD7" i="15"/>
  <c r="BJ7" i="15" s="1"/>
  <c r="Q7" i="15" s="1"/>
  <c r="BA13" i="15"/>
  <c r="BG13" i="15" s="1"/>
  <c r="AR13" i="15"/>
  <c r="BC32" i="15"/>
  <c r="BI32" i="15" s="1"/>
  <c r="BA51" i="15"/>
  <c r="BG51" i="15" s="1"/>
  <c r="BA43" i="15"/>
  <c r="BG43" i="15" s="1"/>
  <c r="BC34" i="15"/>
  <c r="BI34" i="15" s="1"/>
  <c r="BT46" i="15"/>
  <c r="B46" i="15"/>
  <c r="CA46" i="15"/>
  <c r="BM46" i="15"/>
  <c r="BO40" i="15"/>
  <c r="D40" i="15"/>
  <c r="CC40" i="15"/>
  <c r="BV40" i="15"/>
  <c r="BB11" i="15"/>
  <c r="BH11" i="15" s="1"/>
  <c r="BT51" i="15"/>
  <c r="BM51" i="15"/>
  <c r="B51" i="15"/>
  <c r="CA51" i="15"/>
  <c r="AT35" i="15"/>
  <c r="CC44" i="15"/>
  <c r="D44" i="15"/>
  <c r="BO44" i="15"/>
  <c r="BV44" i="15"/>
  <c r="BB47" i="15"/>
  <c r="BH47" i="15" s="1"/>
  <c r="AS59" i="15"/>
  <c r="AR15" i="15"/>
  <c r="AU26" i="15"/>
  <c r="AR48" i="15"/>
  <c r="BA48" i="15"/>
  <c r="BG48" i="15" s="1"/>
  <c r="CD9" i="15"/>
  <c r="BW9" i="15"/>
  <c r="BP9" i="15"/>
  <c r="E9" i="15"/>
  <c r="BQ54" i="15"/>
  <c r="CE54" i="15"/>
  <c r="F54" i="15"/>
  <c r="BX54" i="15"/>
  <c r="BO50" i="15"/>
  <c r="BV50" i="15"/>
  <c r="D50" i="15"/>
  <c r="CC50" i="15"/>
  <c r="CD5" i="15"/>
  <c r="E5" i="15"/>
  <c r="BW5" i="15"/>
  <c r="BP5" i="15"/>
  <c r="AT52" i="15"/>
  <c r="BM55" i="15"/>
  <c r="CA55" i="15"/>
  <c r="B55" i="15"/>
  <c r="BT55" i="15"/>
  <c r="BM31" i="15"/>
  <c r="CA31" i="15"/>
  <c r="BT31" i="15"/>
  <c r="B31" i="15"/>
  <c r="B19" i="15"/>
  <c r="BT19" i="15"/>
  <c r="BM19" i="15"/>
  <c r="CA19" i="15"/>
  <c r="AR52" i="15"/>
  <c r="BB52" i="15"/>
  <c r="BH52" i="15" s="1"/>
  <c r="AS52" i="15"/>
  <c r="CA24" i="15"/>
  <c r="BT24" i="15"/>
  <c r="BM24" i="15"/>
  <c r="B24" i="15"/>
  <c r="AU8" i="15"/>
  <c r="P47" i="15"/>
  <c r="O26" i="15"/>
  <c r="BQ12" i="15"/>
  <c r="BX12" i="15"/>
  <c r="CE12" i="15"/>
  <c r="F12" i="15"/>
  <c r="AS57" i="15"/>
  <c r="BP10" i="15"/>
  <c r="BW10" i="15"/>
  <c r="CD10" i="15"/>
  <c r="E10" i="15"/>
  <c r="BC36" i="15"/>
  <c r="BI36" i="15" s="1"/>
  <c r="AU29" i="15"/>
  <c r="BB50" i="15"/>
  <c r="BH50" i="15" s="1"/>
  <c r="BC51" i="15"/>
  <c r="BI51" i="15" s="1"/>
  <c r="AT51" i="15"/>
  <c r="BD20" i="15"/>
  <c r="BJ20" i="15" s="1"/>
  <c r="Q20" i="15" s="1"/>
  <c r="BN12" i="15"/>
  <c r="CB12" i="15"/>
  <c r="BU12" i="15"/>
  <c r="C12" i="15"/>
  <c r="AT11" i="15"/>
  <c r="BT10" i="15"/>
  <c r="CA10" i="15"/>
  <c r="B10" i="15"/>
  <c r="BM10" i="15"/>
  <c r="BG27" i="15"/>
  <c r="CD20" i="15"/>
  <c r="BW20" i="15"/>
  <c r="E20" i="15"/>
  <c r="BP20" i="15"/>
  <c r="D29" i="15"/>
  <c r="BV29" i="15"/>
  <c r="CC29" i="15"/>
  <c r="BO29" i="15"/>
  <c r="AU45" i="15"/>
  <c r="BB37" i="15"/>
  <c r="BH37" i="15" s="1"/>
  <c r="BN51" i="15"/>
  <c r="CB51" i="15"/>
  <c r="C51" i="15"/>
  <c r="BU51" i="15"/>
  <c r="BC49" i="15"/>
  <c r="BI49" i="15" s="1"/>
  <c r="CA47" i="15"/>
  <c r="BM47" i="15"/>
  <c r="BT47" i="15"/>
  <c r="B47" i="15"/>
  <c r="BD59" i="15"/>
  <c r="BJ59" i="15" s="1"/>
  <c r="BC4" i="15"/>
  <c r="BI4" i="15" s="1"/>
  <c r="BA25" i="15"/>
  <c r="BG25" i="15" s="1"/>
  <c r="AR25" i="15"/>
  <c r="BA9" i="15"/>
  <c r="BG9" i="15" s="1"/>
  <c r="BC25" i="15"/>
  <c r="BI25" i="15" s="1"/>
  <c r="BC6" i="15"/>
  <c r="BI6" i="15" s="1"/>
  <c r="BD16" i="15"/>
  <c r="BJ16" i="15" s="1"/>
  <c r="Q16" i="15" s="1"/>
  <c r="AU16" i="15"/>
  <c r="BA7" i="15"/>
  <c r="BG7" i="15" s="1"/>
  <c r="BD43" i="15"/>
  <c r="BJ43" i="15" s="1"/>
  <c r="Q43" i="15" s="1"/>
  <c r="AU43" i="15"/>
  <c r="BB32" i="15"/>
  <c r="BH32" i="15" s="1"/>
  <c r="AS32" i="15"/>
  <c r="BC53" i="15"/>
  <c r="BI53" i="15" s="1"/>
  <c r="BC27" i="15"/>
  <c r="BI27" i="15" s="1"/>
  <c r="BD57" i="15"/>
  <c r="BJ57" i="15" s="1"/>
  <c r="BC42" i="15"/>
  <c r="BI42" i="15" s="1"/>
  <c r="AS46" i="15"/>
  <c r="AU40" i="15"/>
  <c r="AU51" i="15"/>
  <c r="BV35" i="15"/>
  <c r="BO35" i="15"/>
  <c r="CC35" i="15"/>
  <c r="D35" i="15"/>
  <c r="BD17" i="15"/>
  <c r="BJ17" i="15" s="1"/>
  <c r="Q17" i="15" s="1"/>
  <c r="BC13" i="15"/>
  <c r="BI13" i="15" s="1"/>
  <c r="AU15" i="15"/>
  <c r="S45" i="15"/>
  <c r="CC36" i="15" l="1"/>
  <c r="N36" i="15"/>
  <c r="BG65" i="15"/>
  <c r="T14" i="15"/>
  <c r="N23" i="15"/>
  <c r="BQ16" i="15"/>
  <c r="BV41" i="15"/>
  <c r="U18" i="15"/>
  <c r="T52" i="15"/>
  <c r="T36" i="15"/>
  <c r="T11" i="15"/>
  <c r="BI68" i="15"/>
  <c r="E31" i="18"/>
  <c r="C31" i="18"/>
  <c r="BV36" i="15"/>
  <c r="D36" i="15"/>
  <c r="V57" i="15"/>
  <c r="U55" i="15"/>
  <c r="S33" i="15"/>
  <c r="V59" i="15"/>
  <c r="U59" i="15"/>
  <c r="N28" i="15"/>
  <c r="V47" i="15"/>
  <c r="T28" i="15"/>
  <c r="S52" i="15"/>
  <c r="T42" i="15"/>
  <c r="O55" i="15"/>
  <c r="T26" i="15"/>
  <c r="P57" i="15"/>
  <c r="S11" i="15"/>
  <c r="Q54" i="15"/>
  <c r="S56" i="15"/>
  <c r="V9" i="15"/>
  <c r="N26" i="15"/>
  <c r="BJ65" i="15"/>
  <c r="N21" i="15"/>
  <c r="U9" i="15"/>
  <c r="S26" i="15"/>
  <c r="V54" i="15"/>
  <c r="BI63" i="15"/>
  <c r="S31" i="15"/>
  <c r="CC41" i="15"/>
  <c r="N5" i="15"/>
  <c r="T15" i="15"/>
  <c r="S41" i="15"/>
  <c r="U31" i="15"/>
  <c r="T41" i="15"/>
  <c r="U22" i="15"/>
  <c r="T5" i="15"/>
  <c r="T31" i="15"/>
  <c r="BI65" i="15"/>
  <c r="S15" i="15"/>
  <c r="CC18" i="15"/>
  <c r="V56" i="15"/>
  <c r="BO18" i="15"/>
  <c r="T21" i="15"/>
  <c r="BV18" i="15"/>
  <c r="S37" i="15"/>
  <c r="T56" i="15"/>
  <c r="S42" i="15"/>
  <c r="O22" i="15"/>
  <c r="O56" i="15"/>
  <c r="O21" i="15"/>
  <c r="V8" i="15"/>
  <c r="O31" i="15"/>
  <c r="N42" i="15"/>
  <c r="V28" i="15"/>
  <c r="U56" i="15"/>
  <c r="V24" i="15"/>
  <c r="T45" i="15"/>
  <c r="S38" i="15"/>
  <c r="V52" i="15"/>
  <c r="T38" i="15"/>
  <c r="P26" i="15"/>
  <c r="U43" i="15"/>
  <c r="BO43" i="15"/>
  <c r="BO41" i="15"/>
  <c r="S10" i="15"/>
  <c r="S8" i="15"/>
  <c r="BG62" i="15"/>
  <c r="U57" i="15"/>
  <c r="N15" i="15"/>
  <c r="BV43" i="15"/>
  <c r="CC43" i="15"/>
  <c r="T10" i="15"/>
  <c r="T8" i="15"/>
  <c r="N53" i="15"/>
  <c r="BH66" i="15"/>
  <c r="U12" i="15"/>
  <c r="S14" i="15"/>
  <c r="V49" i="15"/>
  <c r="P49" i="15"/>
  <c r="BQ29" i="15"/>
  <c r="F29" i="15"/>
  <c r="BX29" i="15"/>
  <c r="CE29" i="15"/>
  <c r="BG68" i="15"/>
  <c r="N59" i="15"/>
  <c r="T59" i="15"/>
  <c r="S59" i="15"/>
  <c r="BV49" i="15"/>
  <c r="CC49" i="15"/>
  <c r="D49" i="15"/>
  <c r="BO49" i="15"/>
  <c r="O53" i="15"/>
  <c r="U53" i="15"/>
  <c r="BH62" i="15"/>
  <c r="P42" i="15"/>
  <c r="V42" i="15"/>
  <c r="N40" i="15"/>
  <c r="T40" i="15"/>
  <c r="S40" i="15"/>
  <c r="BO33" i="15"/>
  <c r="BV33" i="15"/>
  <c r="CC33" i="15"/>
  <c r="D33" i="15"/>
  <c r="N48" i="15"/>
  <c r="T48" i="15"/>
  <c r="S48" i="15"/>
  <c r="BQ47" i="15"/>
  <c r="F47" i="15"/>
  <c r="BX47" i="15"/>
  <c r="CE47" i="15"/>
  <c r="U33" i="15"/>
  <c r="O33" i="15"/>
  <c r="P20" i="15"/>
  <c r="V20" i="15"/>
  <c r="V13" i="15"/>
  <c r="P13" i="15"/>
  <c r="P27" i="15"/>
  <c r="V27" i="15"/>
  <c r="C25" i="15"/>
  <c r="CB25" i="15"/>
  <c r="BU25" i="15"/>
  <c r="BN25" i="15"/>
  <c r="BN48" i="15"/>
  <c r="BU48" i="15"/>
  <c r="C48" i="15"/>
  <c r="CB48" i="15"/>
  <c r="BU13" i="15"/>
  <c r="CB13" i="15"/>
  <c r="C13" i="15"/>
  <c r="BN13" i="15"/>
  <c r="BO22" i="15"/>
  <c r="CC22" i="15"/>
  <c r="BV22" i="15"/>
  <c r="D22" i="15"/>
  <c r="BN11" i="15"/>
  <c r="C11" i="15"/>
  <c r="CB11" i="15"/>
  <c r="BU11" i="15"/>
  <c r="O42" i="15"/>
  <c r="U42" i="15"/>
  <c r="BU35" i="15"/>
  <c r="CB35" i="15"/>
  <c r="C35" i="15"/>
  <c r="BN35" i="15"/>
  <c r="T12" i="15"/>
  <c r="N12" i="15"/>
  <c r="S12" i="15"/>
  <c r="CC31" i="15"/>
  <c r="D31" i="15"/>
  <c r="BO31" i="15"/>
  <c r="BV31" i="15"/>
  <c r="E16" i="15"/>
  <c r="CD16" i="15"/>
  <c r="BP16" i="15"/>
  <c r="BW16" i="15"/>
  <c r="BO58" i="15"/>
  <c r="D58" i="15"/>
  <c r="CC58" i="15"/>
  <c r="BV58" i="15"/>
  <c r="CB21" i="15"/>
  <c r="C21" i="15"/>
  <c r="BN21" i="15"/>
  <c r="BU21" i="15"/>
  <c r="O17" i="15"/>
  <c r="U17" i="15"/>
  <c r="N39" i="15"/>
  <c r="T39" i="15"/>
  <c r="S39" i="15"/>
  <c r="T44" i="15"/>
  <c r="N44" i="15"/>
  <c r="S44" i="15"/>
  <c r="V38" i="15"/>
  <c r="P38" i="15"/>
  <c r="CE14" i="15"/>
  <c r="BQ14" i="15"/>
  <c r="BX14" i="15"/>
  <c r="F14" i="15"/>
  <c r="BN5" i="15"/>
  <c r="BU5" i="15"/>
  <c r="C5" i="15"/>
  <c r="CB5" i="15"/>
  <c r="U34" i="15"/>
  <c r="O34" i="15"/>
  <c r="E14" i="15"/>
  <c r="BW14" i="15"/>
  <c r="CD14" i="15"/>
  <c r="BP14" i="15"/>
  <c r="P53" i="15"/>
  <c r="V53" i="15"/>
  <c r="BI62" i="15"/>
  <c r="T25" i="15"/>
  <c r="N25" i="15"/>
  <c r="S25" i="15"/>
  <c r="CE8" i="15"/>
  <c r="BQ8" i="15"/>
  <c r="F8" i="15"/>
  <c r="BX8" i="15"/>
  <c r="N13" i="15"/>
  <c r="T13" i="15"/>
  <c r="S13" i="15"/>
  <c r="E8" i="15"/>
  <c r="BP8" i="15"/>
  <c r="BW8" i="15"/>
  <c r="CD8" i="15"/>
  <c r="BU8" i="15"/>
  <c r="CB8" i="15"/>
  <c r="C8" i="15"/>
  <c r="BN8" i="15"/>
  <c r="P17" i="15"/>
  <c r="V17" i="15"/>
  <c r="T22" i="15"/>
  <c r="N22" i="15"/>
  <c r="S22" i="15"/>
  <c r="BP40" i="15"/>
  <c r="CD40" i="15"/>
  <c r="BW40" i="15"/>
  <c r="E40" i="15"/>
  <c r="Q58" i="15"/>
  <c r="BJ67" i="15"/>
  <c r="CB37" i="15"/>
  <c r="BN37" i="15"/>
  <c r="BU37" i="15"/>
  <c r="C37" i="15"/>
  <c r="U58" i="15"/>
  <c r="O58" i="15"/>
  <c r="BH67" i="15"/>
  <c r="CD21" i="15"/>
  <c r="BP21" i="15"/>
  <c r="BW21" i="15"/>
  <c r="E21" i="15"/>
  <c r="T47" i="15"/>
  <c r="S47" i="15"/>
  <c r="N47" i="15"/>
  <c r="V33" i="15"/>
  <c r="N54" i="15"/>
  <c r="BG63" i="15"/>
  <c r="T54" i="15"/>
  <c r="S54" i="15"/>
  <c r="V31" i="15"/>
  <c r="P31" i="15"/>
  <c r="BU23" i="15"/>
  <c r="C23" i="15"/>
  <c r="BN23" i="15"/>
  <c r="CB23" i="15"/>
  <c r="BQ4" i="15"/>
  <c r="F4" i="15"/>
  <c r="BX4" i="15"/>
  <c r="CE4" i="15"/>
  <c r="CC34" i="15"/>
  <c r="BV34" i="15"/>
  <c r="BO34" i="15"/>
  <c r="D34" i="15"/>
  <c r="V14" i="15"/>
  <c r="P14" i="15"/>
  <c r="V26" i="15"/>
  <c r="V16" i="15"/>
  <c r="V6" i="15"/>
  <c r="P6" i="15"/>
  <c r="BW11" i="15"/>
  <c r="CD11" i="15"/>
  <c r="E11" i="15"/>
  <c r="BP11" i="15"/>
  <c r="N43" i="15"/>
  <c r="T43" i="15"/>
  <c r="S43" i="15"/>
  <c r="Q53" i="15"/>
  <c r="BJ62" i="15"/>
  <c r="BV30" i="15"/>
  <c r="BO30" i="15"/>
  <c r="CC30" i="15"/>
  <c r="D30" i="15"/>
  <c r="CC9" i="15"/>
  <c r="D9" i="15"/>
  <c r="BO9" i="15"/>
  <c r="BV9" i="15"/>
  <c r="V25" i="15"/>
  <c r="P25" i="15"/>
  <c r="CC14" i="15"/>
  <c r="BO14" i="15"/>
  <c r="D14" i="15"/>
  <c r="BV14" i="15"/>
  <c r="U30" i="15"/>
  <c r="O30" i="15"/>
  <c r="BU34" i="15"/>
  <c r="BN34" i="15"/>
  <c r="C34" i="15"/>
  <c r="CB34" i="15"/>
  <c r="T9" i="15"/>
  <c r="N9" i="15"/>
  <c r="S9" i="15"/>
  <c r="P32" i="15"/>
  <c r="V32" i="15"/>
  <c r="U14" i="15"/>
  <c r="O14" i="15"/>
  <c r="N34" i="15"/>
  <c r="T34" i="15"/>
  <c r="S34" i="15"/>
  <c r="F10" i="15"/>
  <c r="BX10" i="15"/>
  <c r="CE10" i="15"/>
  <c r="BQ10" i="15"/>
  <c r="V4" i="15"/>
  <c r="P4" i="15"/>
  <c r="BX39" i="15"/>
  <c r="CE39" i="15"/>
  <c r="BQ39" i="15"/>
  <c r="F39" i="15"/>
  <c r="BX58" i="15"/>
  <c r="F58" i="15"/>
  <c r="BQ58" i="15"/>
  <c r="CE58" i="15"/>
  <c r="P21" i="15"/>
  <c r="V21" i="15"/>
  <c r="BP35" i="15"/>
  <c r="BW35" i="15"/>
  <c r="CD35" i="15"/>
  <c r="E35" i="15"/>
  <c r="BQ25" i="15"/>
  <c r="BX25" i="15"/>
  <c r="F25" i="15"/>
  <c r="CE25" i="15"/>
  <c r="U24" i="15"/>
  <c r="O24" i="15"/>
  <c r="BN49" i="15"/>
  <c r="C49" i="15"/>
  <c r="BU49" i="15"/>
  <c r="CB49" i="15"/>
  <c r="BV54" i="15"/>
  <c r="CC54" i="15"/>
  <c r="D54" i="15"/>
  <c r="BO54" i="15"/>
  <c r="V41" i="15"/>
  <c r="P41" i="15"/>
  <c r="O4" i="15"/>
  <c r="U4" i="15"/>
  <c r="V29" i="15"/>
  <c r="P29" i="15"/>
  <c r="F19" i="15"/>
  <c r="BQ19" i="15"/>
  <c r="BX19" i="15"/>
  <c r="CE19" i="15"/>
  <c r="P22" i="15"/>
  <c r="V22" i="15"/>
  <c r="V11" i="15"/>
  <c r="V30" i="15"/>
  <c r="BN52" i="15"/>
  <c r="CB52" i="15"/>
  <c r="BU52" i="15"/>
  <c r="C52" i="15"/>
  <c r="U47" i="15"/>
  <c r="O47" i="15"/>
  <c r="O46" i="15"/>
  <c r="U46" i="15"/>
  <c r="V45" i="15"/>
  <c r="P45" i="15"/>
  <c r="T35" i="15"/>
  <c r="N35" i="15"/>
  <c r="S35" i="15"/>
  <c r="T29" i="15"/>
  <c r="N29" i="15"/>
  <c r="S29" i="15"/>
  <c r="V18" i="15"/>
  <c r="P18" i="15"/>
  <c r="T19" i="15"/>
  <c r="N19" i="15"/>
  <c r="S19" i="15"/>
  <c r="C40" i="15"/>
  <c r="CB40" i="15"/>
  <c r="BN40" i="15"/>
  <c r="BU40" i="15"/>
  <c r="U28" i="15"/>
  <c r="O28" i="15"/>
  <c r="V40" i="15"/>
  <c r="P40" i="15"/>
  <c r="E22" i="15"/>
  <c r="BP22" i="15"/>
  <c r="CD22" i="15"/>
  <c r="BW22" i="15"/>
  <c r="P10" i="15"/>
  <c r="V10" i="15"/>
  <c r="U37" i="15"/>
  <c r="O37" i="15"/>
  <c r="CE43" i="15"/>
  <c r="BX43" i="15"/>
  <c r="BQ43" i="15"/>
  <c r="F43" i="15"/>
  <c r="BO57" i="15"/>
  <c r="BV57" i="15"/>
  <c r="CC57" i="15"/>
  <c r="D57" i="15"/>
  <c r="U5" i="15"/>
  <c r="O5" i="15"/>
  <c r="BP15" i="15"/>
  <c r="BW15" i="15"/>
  <c r="E15" i="15"/>
  <c r="CD15" i="15"/>
  <c r="O19" i="15"/>
  <c r="U19" i="15"/>
  <c r="BQ32" i="15"/>
  <c r="CE32" i="15"/>
  <c r="BX32" i="15"/>
  <c r="F32" i="15"/>
  <c r="T17" i="15"/>
  <c r="N17" i="15"/>
  <c r="S17" i="15"/>
  <c r="V23" i="15"/>
  <c r="CE5" i="15"/>
  <c r="BQ5" i="15"/>
  <c r="BX5" i="15"/>
  <c r="F5" i="15"/>
  <c r="BW24" i="15"/>
  <c r="CD24" i="15"/>
  <c r="E24" i="15"/>
  <c r="BP24" i="15"/>
  <c r="V7" i="15"/>
  <c r="P7" i="15"/>
  <c r="F55" i="15"/>
  <c r="BQ55" i="15"/>
  <c r="BX55" i="15"/>
  <c r="CE55" i="15"/>
  <c r="T58" i="15"/>
  <c r="N58" i="15"/>
  <c r="BG67" i="15"/>
  <c r="S58" i="15"/>
  <c r="T33" i="15"/>
  <c r="U21" i="15"/>
  <c r="BP51" i="15"/>
  <c r="CD51" i="15"/>
  <c r="BW51" i="15"/>
  <c r="E51" i="15"/>
  <c r="BQ26" i="15"/>
  <c r="CE26" i="15"/>
  <c r="F26" i="15"/>
  <c r="BX26" i="15"/>
  <c r="O13" i="15"/>
  <c r="U13" i="15"/>
  <c r="BU45" i="15"/>
  <c r="C45" i="15"/>
  <c r="CB45" i="15"/>
  <c r="BN45" i="15"/>
  <c r="BV12" i="15"/>
  <c r="BO12" i="15"/>
  <c r="D12" i="15"/>
  <c r="CC12" i="15"/>
  <c r="F33" i="15"/>
  <c r="BQ33" i="15"/>
  <c r="BX33" i="15"/>
  <c r="CE33" i="15"/>
  <c r="O39" i="15"/>
  <c r="U39" i="15"/>
  <c r="F52" i="15"/>
  <c r="CE52" i="15"/>
  <c r="BX52" i="15"/>
  <c r="BQ52" i="15"/>
  <c r="Q55" i="15"/>
  <c r="BJ64" i="15"/>
  <c r="CB31" i="15"/>
  <c r="C31" i="15"/>
  <c r="BU31" i="15"/>
  <c r="BN31" i="15"/>
  <c r="O8" i="15"/>
  <c r="U8" i="15"/>
  <c r="V50" i="15"/>
  <c r="P50" i="15"/>
  <c r="T6" i="15"/>
  <c r="N6" i="15"/>
  <c r="S6" i="15"/>
  <c r="CC38" i="15"/>
  <c r="BO38" i="15"/>
  <c r="D38" i="15"/>
  <c r="BV38" i="15"/>
  <c r="E37" i="15"/>
  <c r="BP37" i="15"/>
  <c r="BW37" i="15"/>
  <c r="CD37" i="15"/>
  <c r="N24" i="15"/>
  <c r="T24" i="15"/>
  <c r="S24" i="15"/>
  <c r="BP39" i="15"/>
  <c r="BW39" i="15"/>
  <c r="E39" i="15"/>
  <c r="CD39" i="15"/>
  <c r="CB30" i="15"/>
  <c r="BN30" i="15"/>
  <c r="BU30" i="15"/>
  <c r="C30" i="15"/>
  <c r="V48" i="15"/>
  <c r="P48" i="15"/>
  <c r="U49" i="15"/>
  <c r="T53" i="15"/>
  <c r="U27" i="15"/>
  <c r="U48" i="15"/>
  <c r="V43" i="15"/>
  <c r="BV46" i="15"/>
  <c r="CC46" i="15"/>
  <c r="D46" i="15"/>
  <c r="BO46" i="15"/>
  <c r="U6" i="15"/>
  <c r="E45" i="15"/>
  <c r="BW45" i="15"/>
  <c r="BP45" i="15"/>
  <c r="CD45" i="15"/>
  <c r="U45" i="15"/>
  <c r="O45" i="15"/>
  <c r="BW26" i="15"/>
  <c r="CD26" i="15"/>
  <c r="BP26" i="15"/>
  <c r="E26" i="15"/>
  <c r="F50" i="15"/>
  <c r="BX50" i="15"/>
  <c r="BQ50" i="15"/>
  <c r="CE50" i="15"/>
  <c r="BQ9" i="15"/>
  <c r="CE9" i="15"/>
  <c r="BX9" i="15"/>
  <c r="F9" i="15"/>
  <c r="V36" i="15"/>
  <c r="P36" i="15"/>
  <c r="T18" i="15"/>
  <c r="N18" i="15"/>
  <c r="S18" i="15"/>
  <c r="U23" i="15"/>
  <c r="O23" i="15"/>
  <c r="BW33" i="15"/>
  <c r="E33" i="15"/>
  <c r="BP33" i="15"/>
  <c r="CD33" i="15"/>
  <c r="Q57" i="15"/>
  <c r="BJ66" i="15"/>
  <c r="U36" i="15"/>
  <c r="BJ68" i="15"/>
  <c r="Q59" i="15"/>
  <c r="BX45" i="15"/>
  <c r="F45" i="15"/>
  <c r="CE45" i="15"/>
  <c r="BQ45" i="15"/>
  <c r="N4" i="15"/>
  <c r="T4" i="15"/>
  <c r="S4" i="15"/>
  <c r="U54" i="15"/>
  <c r="O54" i="15"/>
  <c r="BH63" i="15"/>
  <c r="BP28" i="15"/>
  <c r="E28" i="15"/>
  <c r="CD28" i="15"/>
  <c r="BW28" i="15"/>
  <c r="U25" i="15"/>
  <c r="T37" i="15"/>
  <c r="BO5" i="15"/>
  <c r="CC5" i="15"/>
  <c r="D5" i="15"/>
  <c r="BV5" i="15"/>
  <c r="U10" i="15"/>
  <c r="O10" i="15"/>
  <c r="O20" i="15"/>
  <c r="U20" i="15"/>
  <c r="T7" i="15"/>
  <c r="N7" i="15"/>
  <c r="S7" i="15"/>
  <c r="F51" i="15"/>
  <c r="BX51" i="15"/>
  <c r="CE51" i="15"/>
  <c r="BQ51" i="15"/>
  <c r="CE16" i="15"/>
  <c r="BX16" i="15"/>
  <c r="F16" i="15"/>
  <c r="C18" i="16" s="1"/>
  <c r="V51" i="15"/>
  <c r="P51" i="15"/>
  <c r="D52" i="15"/>
  <c r="BO52" i="15"/>
  <c r="BV52" i="15"/>
  <c r="CC52" i="15"/>
  <c r="C15" i="15"/>
  <c r="BN15" i="15"/>
  <c r="BU15" i="15"/>
  <c r="CB15" i="15"/>
  <c r="O51" i="15"/>
  <c r="U51" i="15"/>
  <c r="C38" i="15"/>
  <c r="BU38" i="15"/>
  <c r="BN38" i="15"/>
  <c r="CB38" i="15"/>
  <c r="CC26" i="15"/>
  <c r="BO26" i="15"/>
  <c r="D26" i="15"/>
  <c r="BV26" i="15"/>
  <c r="BP58" i="15"/>
  <c r="CD58" i="15"/>
  <c r="E58" i="15"/>
  <c r="BW58" i="15"/>
  <c r="BU41" i="15"/>
  <c r="CB41" i="15"/>
  <c r="BN41" i="15"/>
  <c r="C41" i="15"/>
  <c r="CC15" i="15"/>
  <c r="BV15" i="15"/>
  <c r="BO15" i="15"/>
  <c r="D15" i="15"/>
  <c r="V12" i="15"/>
  <c r="P12" i="15"/>
  <c r="P37" i="15"/>
  <c r="V37" i="15"/>
  <c r="C21" i="18"/>
  <c r="H21" i="18" s="1"/>
  <c r="T30" i="15"/>
  <c r="N30" i="15"/>
  <c r="S30" i="15"/>
  <c r="V46" i="15"/>
  <c r="CC16" i="15"/>
  <c r="D16" i="15"/>
  <c r="BV16" i="15"/>
  <c r="BO16" i="15"/>
  <c r="O40" i="15"/>
  <c r="U40" i="15"/>
  <c r="BU20" i="15"/>
  <c r="C20" i="15"/>
  <c r="BN20" i="15"/>
  <c r="CB20" i="15"/>
  <c r="U29" i="15"/>
  <c r="CB42" i="15"/>
  <c r="BU42" i="15"/>
  <c r="C42" i="15"/>
  <c r="BN42" i="15"/>
  <c r="U38" i="15"/>
  <c r="U7" i="15"/>
  <c r="U41" i="15"/>
  <c r="O11" i="15"/>
  <c r="U11" i="15"/>
  <c r="BG66" i="15"/>
  <c r="N57" i="15"/>
  <c r="T57" i="15"/>
  <c r="S57" i="15"/>
  <c r="T51" i="15"/>
  <c r="N51" i="15"/>
  <c r="S51" i="15"/>
  <c r="N50" i="15"/>
  <c r="T50" i="15"/>
  <c r="S50" i="15"/>
  <c r="BN24" i="15"/>
  <c r="CB24" i="15"/>
  <c r="C24" i="15"/>
  <c r="BU24" i="15"/>
  <c r="V5" i="15"/>
  <c r="P5" i="15"/>
  <c r="CE15" i="15"/>
  <c r="BQ15" i="15"/>
  <c r="F15" i="15"/>
  <c r="BX15" i="15"/>
  <c r="D17" i="15"/>
  <c r="BO17" i="15"/>
  <c r="CC17" i="15"/>
  <c r="BV17" i="15"/>
  <c r="CD38" i="15"/>
  <c r="BP38" i="15"/>
  <c r="BW38" i="15"/>
  <c r="E38" i="15"/>
  <c r="F21" i="15"/>
  <c r="CE21" i="15"/>
  <c r="BQ21" i="15"/>
  <c r="BX21" i="15"/>
  <c r="CC32" i="15"/>
  <c r="BV32" i="15"/>
  <c r="D32" i="15"/>
  <c r="BO32" i="15"/>
  <c r="E56" i="15"/>
  <c r="BP56" i="15"/>
  <c r="BW56" i="15"/>
  <c r="CD56" i="15"/>
  <c r="P15" i="15"/>
  <c r="V15" i="15"/>
  <c r="O32" i="15"/>
  <c r="U32" i="15"/>
  <c r="N27" i="15"/>
  <c r="T27" i="15"/>
  <c r="S27" i="15"/>
  <c r="CD52" i="15"/>
  <c r="BW52" i="15"/>
  <c r="BP52" i="15"/>
  <c r="E52" i="15"/>
  <c r="V55" i="15"/>
  <c r="BI64" i="15"/>
  <c r="P55" i="15"/>
  <c r="N49" i="15"/>
  <c r="T49" i="15"/>
  <c r="S49" i="15"/>
  <c r="D25" i="15"/>
  <c r="BO25" i="15"/>
  <c r="BV25" i="15"/>
  <c r="CC25" i="15"/>
  <c r="U35" i="15"/>
  <c r="O35" i="15"/>
  <c r="BP44" i="15"/>
  <c r="CD44" i="15"/>
  <c r="E44" i="15"/>
  <c r="BW44" i="15"/>
  <c r="T16" i="15"/>
  <c r="N16" i="15"/>
  <c r="S16" i="15"/>
  <c r="T23" i="15"/>
  <c r="CC8" i="15"/>
  <c r="D8" i="15"/>
  <c r="BO8" i="15"/>
  <c r="BV8" i="15"/>
  <c r="U15" i="15"/>
  <c r="V44" i="15"/>
  <c r="P44" i="15"/>
  <c r="CD48" i="15"/>
  <c r="E48" i="15"/>
  <c r="BW48" i="15"/>
  <c r="BP48" i="15"/>
  <c r="BQ40" i="15"/>
  <c r="F40" i="15"/>
  <c r="BX40" i="15"/>
  <c r="CE40" i="15"/>
  <c r="U50" i="15"/>
  <c r="O50" i="15"/>
  <c r="U52" i="15"/>
  <c r="O52" i="15"/>
  <c r="BO59" i="15"/>
  <c r="D59" i="15"/>
  <c r="CC59" i="15"/>
  <c r="BV59" i="15"/>
  <c r="P34" i="15"/>
  <c r="V34" i="15"/>
  <c r="BO51" i="15"/>
  <c r="CC51" i="15"/>
  <c r="BV51" i="15"/>
  <c r="D51" i="15"/>
  <c r="T46" i="15"/>
  <c r="N46" i="15"/>
  <c r="S46" i="15"/>
  <c r="V58" i="15"/>
  <c r="P58" i="15"/>
  <c r="BI67" i="15"/>
  <c r="P19" i="15"/>
  <c r="V19" i="15"/>
  <c r="BV7" i="15"/>
  <c r="BO7" i="15"/>
  <c r="D7" i="15"/>
  <c r="CC7" i="15"/>
  <c r="V35" i="15"/>
  <c r="N32" i="15"/>
  <c r="T32" i="15"/>
  <c r="S32" i="15"/>
  <c r="BQ53" i="15"/>
  <c r="BX53" i="15"/>
  <c r="CE53" i="15"/>
  <c r="F53" i="15"/>
  <c r="BG64" i="15"/>
  <c r="T55" i="15"/>
  <c r="N55" i="15"/>
  <c r="S55" i="15"/>
  <c r="C26" i="15"/>
  <c r="BU26" i="15"/>
  <c r="CB26" i="15"/>
  <c r="BN26" i="15"/>
  <c r="BO56" i="15"/>
  <c r="D56" i="15"/>
  <c r="CC56" i="15"/>
  <c r="BV56" i="15"/>
  <c r="O16" i="15"/>
  <c r="U16" i="15"/>
  <c r="F27" i="15"/>
  <c r="CE27" i="15"/>
  <c r="BQ27" i="15"/>
  <c r="BX27" i="15"/>
  <c r="N20" i="15"/>
  <c r="T20" i="15"/>
  <c r="S20" i="15"/>
  <c r="CE36" i="15"/>
  <c r="F36" i="15"/>
  <c r="BQ36" i="15"/>
  <c r="BX36" i="15"/>
  <c r="BN57" i="15"/>
  <c r="CB57" i="15"/>
  <c r="BU57" i="15"/>
  <c r="C57" i="15"/>
  <c r="V39" i="15"/>
  <c r="C20" i="16" l="1"/>
  <c r="C25" i="16" s="1"/>
  <c r="C24" i="16"/>
  <c r="H31" i="18"/>
  <c r="C23" i="18"/>
  <c r="C15" i="16"/>
  <c r="C13" i="4"/>
  <c r="C26" i="18"/>
  <c r="H26" i="18" s="1"/>
  <c r="C14" i="4"/>
  <c r="C23" i="16"/>
  <c r="C27" i="18" l="1"/>
  <c r="H27" i="18" s="1"/>
  <c r="H22" i="18"/>
  <c r="C28" i="18"/>
  <c r="H28" i="18" s="1"/>
  <c r="H23" i="18"/>
  <c r="C16" i="16"/>
  <c r="C29" i="18"/>
  <c r="C24" i="18"/>
  <c r="C26" i="16"/>
  <c r="C21" i="16"/>
  <c r="C15" i="4"/>
  <c r="C16" i="4"/>
  <c r="H18" i="18" l="1"/>
  <c r="H24" i="18"/>
  <c r="E29" i="18"/>
  <c r="H29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AA3" authorId="0" shapeId="0" xr:uid="{27A438DC-C59D-4B54-9D30-96EA4A1A0500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Skæringsdato for ændringer på løntrin 11-19 (+382 kr. på grundsats før regulering)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4FC993D1-4A2A-4144-A256-1EB1E4AF5ED7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Hovedregel--------------
Før 1-5-2024: 1,95%
Efter 1-5-2025: 2,48%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2077D95F-B43F-4D68-85EF-B5E09C258176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Hovedregel--------------
Før 1-5-2024: 1,95%
Efter 1-5-2024: 2,48%</t>
        </r>
      </text>
    </comment>
  </commentList>
</comments>
</file>

<file path=xl/sharedStrings.xml><?xml version="1.0" encoding="utf-8"?>
<sst xmlns="http://schemas.openxmlformats.org/spreadsheetml/2006/main" count="207" uniqueCount="139">
  <si>
    <t>pr. måned</t>
  </si>
  <si>
    <t>Nyt grundbeløb</t>
  </si>
  <si>
    <t>pr. 31/3-2000</t>
  </si>
  <si>
    <t>inkl. afrunding</t>
  </si>
  <si>
    <t>ekskl. afrunding</t>
  </si>
  <si>
    <t>beløb</t>
  </si>
  <si>
    <t>+/-</t>
  </si>
  <si>
    <t>pr. gang/år</t>
  </si>
  <si>
    <t>Løngruppe</t>
  </si>
  <si>
    <t xml:space="preserve">Løntrin </t>
  </si>
  <si>
    <t>Fra</t>
  </si>
  <si>
    <t>Til</t>
  </si>
  <si>
    <t>Løn</t>
  </si>
  <si>
    <t>Timer/uge</t>
  </si>
  <si>
    <t>Stigning:</t>
  </si>
  <si>
    <t>Grundbeløb pr. 1/10-1984</t>
  </si>
  <si>
    <t>I alt pr. 1. april 1999 inkl. %regulering</t>
  </si>
  <si>
    <t xml:space="preserve">Valgt lønniveau: </t>
  </si>
  <si>
    <t>Indtast beløb:</t>
  </si>
  <si>
    <t>1/4-98</t>
  </si>
  <si>
    <t>1/10-98</t>
  </si>
  <si>
    <t>1/4-99</t>
  </si>
  <si>
    <t>Grundbeløb pr. 31/3-00</t>
  </si>
  <si>
    <t>1/4-00</t>
  </si>
  <si>
    <t>1/4-01</t>
  </si>
  <si>
    <t>1/10-01</t>
  </si>
  <si>
    <t>1/4-02</t>
  </si>
  <si>
    <t>1/4-03</t>
  </si>
  <si>
    <t>1/8-03</t>
  </si>
  <si>
    <t>1/10-03</t>
  </si>
  <si>
    <t>1/4 '04</t>
  </si>
  <si>
    <t>1/8 '04</t>
  </si>
  <si>
    <t>1/10 '04</t>
  </si>
  <si>
    <t>1/10 '03</t>
  </si>
  <si>
    <t>1/8 '03</t>
  </si>
  <si>
    <t>1/4 '03</t>
  </si>
  <si>
    <t>1/4 '02</t>
  </si>
  <si>
    <t>1/10 '01</t>
  </si>
  <si>
    <t>1/4 '01</t>
  </si>
  <si>
    <t>1/4 '00</t>
  </si>
  <si>
    <t>1/4 '99</t>
  </si>
  <si>
    <t>1/10 '98</t>
  </si>
  <si>
    <t>1/4 '98</t>
  </si>
  <si>
    <t>1/10 '84</t>
  </si>
  <si>
    <t>Årsløn</t>
  </si>
  <si>
    <t>Særlig feriegodtgørelse, aktuel pct.</t>
  </si>
  <si>
    <t>Særlig feriegodtg., aktuel pct.</t>
  </si>
  <si>
    <t>Lønniveau:</t>
  </si>
  <si>
    <t>Ferietillæg</t>
  </si>
  <si>
    <t xml:space="preserve">Årligt beløb, 31.3.2000 niveau </t>
  </si>
  <si>
    <t>Reguleret tillæg (31.3.2000) kr./år</t>
  </si>
  <si>
    <t>Reguleringsprocenter</t>
  </si>
  <si>
    <t>pensionsudbygning</t>
  </si>
  <si>
    <t>Valgt:</t>
  </si>
  <si>
    <t>Ureguleret ikke-pensionsgivende tillæg</t>
  </si>
  <si>
    <t xml:space="preserve">Årsløn ialt </t>
  </si>
  <si>
    <t>Pensionsgivende løn</t>
  </si>
  <si>
    <t>trin</t>
  </si>
  <si>
    <t>Grundsats</t>
  </si>
  <si>
    <t>%-reg.</t>
  </si>
  <si>
    <t>Sats</t>
  </si>
  <si>
    <t>Omr 1</t>
  </si>
  <si>
    <t>Omr 2</t>
  </si>
  <si>
    <t>Omr 3</t>
  </si>
  <si>
    <t>Omr 4</t>
  </si>
  <si>
    <t>Omr 0</t>
  </si>
  <si>
    <t>0-&gt;1</t>
  </si>
  <si>
    <t>1-&gt;2</t>
  </si>
  <si>
    <t>2-&gt;3</t>
  </si>
  <si>
    <t>3-&gt;4</t>
  </si>
  <si>
    <t>Valgt lønniveau:</t>
  </si>
  <si>
    <t>år</t>
  </si>
  <si>
    <t>måned</t>
  </si>
  <si>
    <t xml:space="preserve">1) Grundbeløb pr. 31-3-2000 omregnet til nutidskr. </t>
  </si>
  <si>
    <t>Aktuelt beløb</t>
  </si>
  <si>
    <t>2) Beløb der skal omregnes til '31-3-2000-niveau'</t>
  </si>
  <si>
    <t>Månedligt beløb</t>
  </si>
  <si>
    <t>Grundbeløb pr. 31-3-2000</t>
  </si>
  <si>
    <t>Årligt grundbeløb:</t>
  </si>
  <si>
    <t>bruttoudgift / md</t>
  </si>
  <si>
    <t>bruttoudgift / år</t>
  </si>
  <si>
    <t>Bruttoudgift i alt</t>
  </si>
  <si>
    <t>Årlig bruttoudgift i alt</t>
  </si>
  <si>
    <t>Områdetillæg inkl. regulering</t>
  </si>
  <si>
    <t>timelønninger</t>
  </si>
  <si>
    <t>timelønninger + 50%</t>
  </si>
  <si>
    <t>søndagstillæg - 50%</t>
  </si>
  <si>
    <t>Pensionsgivende løn, optrapning fra:</t>
  </si>
  <si>
    <t>Pensionsudbygningspct:</t>
  </si>
  <si>
    <t>Månedlig bruttoudgift i alt</t>
  </si>
  <si>
    <t>Grundoplysninger:</t>
  </si>
  <si>
    <t>Løndele:</t>
  </si>
  <si>
    <t>I alt</t>
  </si>
  <si>
    <t>Løntrin - centralt og lokalt aftalte</t>
  </si>
  <si>
    <t>Før ændring</t>
  </si>
  <si>
    <t>Efter ændring</t>
  </si>
  <si>
    <t>Fast månedsløn</t>
  </si>
  <si>
    <t>Månedsløn, brutto</t>
  </si>
  <si>
    <t>Fast løn, år</t>
  </si>
  <si>
    <t>Ferietillæg, år</t>
  </si>
  <si>
    <t>Årsløn, brutto</t>
  </si>
  <si>
    <t>Timetal:</t>
  </si>
  <si>
    <t>Pension inkl. evt. fritvalgstillæg</t>
  </si>
  <si>
    <t>Pension-% inkl. evt. fritvalgs-%</t>
  </si>
  <si>
    <t>Pensions-% inkl. evt. fritvalgs-%</t>
  </si>
  <si>
    <t>Pension inkl. evt. fritvalgstillæg, år</t>
  </si>
  <si>
    <t>Lønsammensætning (trin i alt og grundbeløb i alt)</t>
  </si>
  <si>
    <t>Hvad betyder det for lønnen, hvis man ændrer på lønsammensætning eller timetal ?</t>
  </si>
  <si>
    <t>Timeløn</t>
  </si>
  <si>
    <t>Løn/time</t>
  </si>
  <si>
    <t>Time bruttoudgift i alt</t>
  </si>
  <si>
    <t>Løn/måned</t>
  </si>
  <si>
    <t>Løn/år</t>
  </si>
  <si>
    <t>Lavtlønsprojekt</t>
  </si>
  <si>
    <t>Omregner</t>
  </si>
  <si>
    <t>Samlet_omk</t>
  </si>
  <si>
    <t>Op_ned i tid</t>
  </si>
  <si>
    <t>Omregning af kr.-beløb til og fra '31.3.2000-niveau'</t>
  </si>
  <si>
    <t>Beregn samlet omkostning på et givet løntrin og 
med et givet årligt grundbeløb</t>
  </si>
  <si>
    <t>Dato (DD-MM-AA):</t>
  </si>
  <si>
    <t>Arkfane:</t>
  </si>
  <si>
    <t>Indhold:</t>
  </si>
  <si>
    <t>Grundsats inkl. lavtløn</t>
  </si>
  <si>
    <t>opr. Grundsats</t>
  </si>
  <si>
    <t>ok 18</t>
  </si>
  <si>
    <t>ok 21</t>
  </si>
  <si>
    <t>ok24</t>
  </si>
  <si>
    <t>trin 11-19</t>
  </si>
  <si>
    <t>trin 11-21</t>
  </si>
  <si>
    <t>trin 11-14</t>
  </si>
  <si>
    <t>MD</t>
  </si>
  <si>
    <t>KL</t>
  </si>
  <si>
    <t>Månedsløn/løngrupper</t>
  </si>
  <si>
    <t>Pensionsgivende månedsløn/løngrupper</t>
  </si>
  <si>
    <t>Grundsats 
afh. af dato</t>
  </si>
  <si>
    <t>Grundsats
inkl. reg.</t>
  </si>
  <si>
    <t>Lavløns tillæg til grundsats (i alt/akk)</t>
  </si>
  <si>
    <t>Tillæg (grundbeløb 31-3-2000) kr./år centralt og lokalt aftalte</t>
  </si>
  <si>
    <t>Særlig feriegodtgørelse, samlet procent (Ferieafale+6. ferieuge)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</si>
</sst>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#,##0.000000"/>
    <numFmt numFmtId="168" formatCode="_(* #,##0.0000000_);_(* \(#,##0.0000000\);_(* &quot;-&quot;??_);_(@_)"/>
    <numFmt numFmtId="169" formatCode="_(* #,##0.000000_);_(* \(#,##0.000000\);_(* &quot;-&quot;??_);_(@_)"/>
    <numFmt numFmtId="170" formatCode="_ * #,##0.00_ ;_ * \-#,##0.00_ ;_ * &quot;-&quot;??_ ;_ @_ "/>
    <numFmt numFmtId="171" formatCode="&quot;kr.&quot;_(* #,##0.00_);_(* \(#,##0.00\);_(* &quot;-&quot;??_);_(@_)"/>
    <numFmt numFmtId="172" formatCode="_-* #,##0.00\ _k_r_._-;\-* #,##0.00\ _k_r_._-;_-* &quot;-&quot;??\ _k_r_.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7"/>
      <color indexed="53"/>
      <name val="Arial"/>
      <family val="2"/>
    </font>
    <font>
      <sz val="10"/>
      <color indexed="4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4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gray0625"/>
    </fill>
    <fill>
      <patternFill patternType="gray0625">
        <bgColor theme="4" tint="0.79998168889431442"/>
      </patternFill>
    </fill>
    <fill>
      <patternFill patternType="gray0625">
        <bgColor theme="5" tint="0.79998168889431442"/>
      </patternFill>
    </fill>
    <fill>
      <patternFill patternType="gray0625">
        <b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26" applyNumberFormat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170" fontId="1" fillId="0" borderId="0" applyFont="0" applyFill="0" applyBorder="0" applyAlignment="0" applyProtection="0"/>
  </cellStyleXfs>
  <cellXfs count="297">
    <xf numFmtId="0" fontId="0" fillId="0" borderId="0" xfId="0"/>
    <xf numFmtId="164" fontId="0" fillId="0" borderId="0" xfId="2" applyFont="1"/>
    <xf numFmtId="164" fontId="0" fillId="0" borderId="0" xfId="0" applyNumberFormat="1"/>
    <xf numFmtId="2" fontId="0" fillId="0" borderId="0" xfId="0" applyNumberFormat="1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5" fontId="3" fillId="2" borderId="1" xfId="2" quotePrefix="1" applyNumberFormat="1" applyFont="1" applyFill="1" applyBorder="1" applyAlignment="1" applyProtection="1">
      <alignment horizontal="center"/>
      <protection hidden="1"/>
    </xf>
    <xf numFmtId="165" fontId="2" fillId="3" borderId="2" xfId="2" applyNumberFormat="1" applyFill="1" applyBorder="1" applyProtection="1">
      <protection hidden="1"/>
    </xf>
    <xf numFmtId="165" fontId="2" fillId="3" borderId="3" xfId="2" applyNumberFormat="1" applyFill="1" applyBorder="1" applyProtection="1">
      <protection hidden="1"/>
    </xf>
    <xf numFmtId="165" fontId="2" fillId="4" borderId="4" xfId="2" applyNumberFormat="1" applyFill="1" applyBorder="1" applyProtection="1">
      <protection hidden="1"/>
    </xf>
    <xf numFmtId="165" fontId="2" fillId="4" borderId="1" xfId="2" applyNumberFormat="1" applyFill="1" applyBorder="1" applyProtection="1">
      <protection hidden="1"/>
    </xf>
    <xf numFmtId="165" fontId="3" fillId="3" borderId="2" xfId="2" applyNumberFormat="1" applyFont="1" applyFill="1" applyBorder="1" applyProtection="1">
      <protection hidden="1"/>
    </xf>
    <xf numFmtId="165" fontId="3" fillId="3" borderId="3" xfId="2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164" fontId="2" fillId="5" borderId="0" xfId="2" applyFill="1" applyProtection="1">
      <protection hidden="1"/>
    </xf>
    <xf numFmtId="0" fontId="6" fillId="5" borderId="0" xfId="0" applyFont="1" applyFill="1" applyProtection="1">
      <protection hidden="1"/>
    </xf>
    <xf numFmtId="164" fontId="6" fillId="5" borderId="0" xfId="2" applyFont="1" applyFill="1" applyProtection="1">
      <protection hidden="1"/>
    </xf>
    <xf numFmtId="14" fontId="0" fillId="5" borderId="0" xfId="0" applyNumberFormat="1" applyFill="1" applyProtection="1">
      <protection hidden="1"/>
    </xf>
    <xf numFmtId="0" fontId="8" fillId="5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14" fontId="0" fillId="5" borderId="0" xfId="0" quotePrefix="1" applyNumberFormat="1" applyFill="1" applyAlignment="1" applyProtection="1">
      <alignment horizontal="right"/>
      <protection hidden="1"/>
    </xf>
    <xf numFmtId="14" fontId="0" fillId="5" borderId="0" xfId="0" applyNumberFormat="1" applyFill="1" applyAlignment="1" applyProtection="1">
      <alignment horizontal="right"/>
      <protection hidden="1"/>
    </xf>
    <xf numFmtId="14" fontId="3" fillId="5" borderId="0" xfId="0" quotePrefix="1" applyNumberFormat="1" applyFont="1" applyFill="1" applyAlignment="1" applyProtection="1">
      <alignment horizontal="right"/>
      <protection hidden="1"/>
    </xf>
    <xf numFmtId="14" fontId="8" fillId="5" borderId="0" xfId="0" quotePrefix="1" applyNumberFormat="1" applyFont="1" applyFill="1" applyAlignment="1" applyProtection="1">
      <alignment horizontal="right"/>
      <protection hidden="1"/>
    </xf>
    <xf numFmtId="0" fontId="0" fillId="5" borderId="0" xfId="0" quotePrefix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165" fontId="0" fillId="5" borderId="0" xfId="2" applyNumberFormat="1" applyFont="1" applyFill="1" applyProtection="1">
      <protection hidden="1"/>
    </xf>
    <xf numFmtId="165" fontId="8" fillId="5" borderId="0" xfId="2" applyNumberFormat="1" applyFont="1" applyFill="1" applyProtection="1">
      <protection hidden="1"/>
    </xf>
    <xf numFmtId="165" fontId="3" fillId="6" borderId="1" xfId="2" applyNumberFormat="1" applyFont="1" applyFill="1" applyBorder="1" applyProtection="1">
      <protection locked="0" hidden="1"/>
    </xf>
    <xf numFmtId="165" fontId="2" fillId="6" borderId="2" xfId="2" applyNumberFormat="1" applyFill="1" applyBorder="1" applyProtection="1">
      <protection hidden="1"/>
    </xf>
    <xf numFmtId="165" fontId="2" fillId="6" borderId="3" xfId="2" applyNumberFormat="1" applyFill="1" applyBorder="1" applyProtection="1">
      <protection hidden="1"/>
    </xf>
    <xf numFmtId="0" fontId="12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165" fontId="0" fillId="7" borderId="0" xfId="2" applyNumberFormat="1" applyFont="1" applyFill="1" applyProtection="1">
      <protection hidden="1"/>
    </xf>
    <xf numFmtId="0" fontId="5" fillId="7" borderId="0" xfId="0" applyFont="1" applyFill="1" applyProtection="1">
      <protection hidden="1"/>
    </xf>
    <xf numFmtId="0" fontId="0" fillId="7" borderId="5" xfId="0" applyFill="1" applyBorder="1" applyProtection="1">
      <protection hidden="1"/>
    </xf>
    <xf numFmtId="165" fontId="0" fillId="7" borderId="5" xfId="2" applyNumberFormat="1" applyFont="1" applyFill="1" applyBorder="1" applyProtection="1">
      <protection hidden="1"/>
    </xf>
    <xf numFmtId="0" fontId="3" fillId="7" borderId="0" xfId="0" applyFont="1" applyFill="1" applyProtection="1">
      <protection hidden="1"/>
    </xf>
    <xf numFmtId="165" fontId="3" fillId="7" borderId="6" xfId="2" applyNumberFormat="1" applyFont="1" applyFill="1" applyBorder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0" fillId="7" borderId="0" xfId="0" applyFill="1"/>
    <xf numFmtId="165" fontId="3" fillId="7" borderId="0" xfId="2" applyNumberFormat="1" applyFont="1" applyFill="1" applyBorder="1" applyProtection="1">
      <protection hidden="1"/>
    </xf>
    <xf numFmtId="0" fontId="0" fillId="7" borderId="0" xfId="0" applyFill="1" applyAlignment="1">
      <alignment horizontal="center"/>
    </xf>
    <xf numFmtId="165" fontId="2" fillId="7" borderId="0" xfId="2" applyNumberFormat="1" applyFill="1" applyProtection="1">
      <protection hidden="1"/>
    </xf>
    <xf numFmtId="0" fontId="0" fillId="7" borderId="5" xfId="0" applyFill="1" applyBorder="1"/>
    <xf numFmtId="165" fontId="2" fillId="7" borderId="5" xfId="2" applyNumberFormat="1" applyFill="1" applyBorder="1" applyProtection="1">
      <protection hidden="1"/>
    </xf>
    <xf numFmtId="0" fontId="9" fillId="7" borderId="0" xfId="0" applyFont="1" applyFill="1"/>
    <xf numFmtId="0" fontId="3" fillId="7" borderId="0" xfId="0" applyFont="1" applyFill="1" applyAlignment="1">
      <alignment horizontal="center" wrapText="1"/>
    </xf>
    <xf numFmtId="0" fontId="4" fillId="7" borderId="0" xfId="0" applyFont="1" applyFill="1" applyProtection="1">
      <protection hidden="1"/>
    </xf>
    <xf numFmtId="0" fontId="3" fillId="7" borderId="0" xfId="0" quotePrefix="1" applyFont="1" applyFill="1" applyAlignment="1">
      <alignment horizontal="left"/>
    </xf>
    <xf numFmtId="0" fontId="3" fillId="7" borderId="7" xfId="0" applyFont="1" applyFill="1" applyBorder="1" applyAlignment="1">
      <alignment horizontal="center"/>
    </xf>
    <xf numFmtId="165" fontId="2" fillId="7" borderId="7" xfId="2" applyNumberFormat="1" applyFont="1" applyFill="1" applyBorder="1" applyProtection="1">
      <protection hidden="1"/>
    </xf>
    <xf numFmtId="165" fontId="2" fillId="7" borderId="8" xfId="2" applyNumberFormat="1" applyFill="1" applyBorder="1" applyProtection="1">
      <protection hidden="1"/>
    </xf>
    <xf numFmtId="0" fontId="4" fillId="7" borderId="0" xfId="0" applyFont="1" applyFill="1"/>
    <xf numFmtId="0" fontId="12" fillId="7" borderId="0" xfId="0" applyFont="1" applyFill="1"/>
    <xf numFmtId="0" fontId="13" fillId="7" borderId="0" xfId="0" applyFont="1" applyFill="1" applyProtection="1">
      <protection hidden="1"/>
    </xf>
    <xf numFmtId="165" fontId="3" fillId="7" borderId="9" xfId="2" applyNumberFormat="1" applyFont="1" applyFill="1" applyBorder="1" applyProtection="1">
      <protection hidden="1"/>
    </xf>
    <xf numFmtId="0" fontId="0" fillId="7" borderId="10" xfId="0" applyFill="1" applyBorder="1"/>
    <xf numFmtId="0" fontId="0" fillId="7" borderId="0" xfId="0" quotePrefix="1" applyFill="1" applyAlignment="1" applyProtection="1">
      <alignment horizontal="right"/>
      <protection hidden="1"/>
    </xf>
    <xf numFmtId="0" fontId="0" fillId="7" borderId="0" xfId="0" applyFill="1" applyAlignment="1" applyProtection="1">
      <alignment horizontal="right"/>
      <protection hidden="1"/>
    </xf>
    <xf numFmtId="0" fontId="2" fillId="7" borderId="0" xfId="0" applyFont="1" applyFill="1"/>
    <xf numFmtId="0" fontId="13" fillId="0" borderId="0" xfId="0" applyFont="1" applyProtection="1">
      <protection hidden="1"/>
    </xf>
    <xf numFmtId="165" fontId="0" fillId="7" borderId="0" xfId="0" applyNumberFormat="1" applyFill="1"/>
    <xf numFmtId="0" fontId="2" fillId="0" borderId="0" xfId="3"/>
    <xf numFmtId="0" fontId="2" fillId="0" borderId="11" xfId="3" applyBorder="1"/>
    <xf numFmtId="167" fontId="2" fillId="0" borderId="12" xfId="3" applyNumberFormat="1" applyBorder="1"/>
    <xf numFmtId="0" fontId="2" fillId="0" borderId="0" xfId="3" applyAlignment="1">
      <alignment horizontal="center"/>
    </xf>
    <xf numFmtId="164" fontId="2" fillId="0" borderId="0" xfId="1"/>
    <xf numFmtId="165" fontId="2" fillId="0" borderId="0" xfId="3" applyNumberFormat="1"/>
    <xf numFmtId="164" fontId="2" fillId="0" borderId="0" xfId="2"/>
    <xf numFmtId="165" fontId="2" fillId="7" borderId="7" xfId="2" applyNumberFormat="1" applyFill="1" applyBorder="1" applyProtection="1">
      <protection hidden="1"/>
    </xf>
    <xf numFmtId="14" fontId="3" fillId="7" borderId="0" xfId="0" applyNumberFormat="1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 wrapText="1"/>
    </xf>
    <xf numFmtId="14" fontId="3" fillId="7" borderId="0" xfId="0" applyNumberFormat="1" applyFont="1" applyFill="1" applyAlignment="1">
      <alignment horizontal="left"/>
    </xf>
    <xf numFmtId="14" fontId="3" fillId="7" borderId="0" xfId="0" applyNumberFormat="1" applyFont="1" applyFill="1" applyProtection="1">
      <protection hidden="1"/>
    </xf>
    <xf numFmtId="165" fontId="0" fillId="7" borderId="0" xfId="0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0" fillId="7" borderId="16" xfId="0" applyFill="1" applyBorder="1" applyProtection="1">
      <protection hidden="1"/>
    </xf>
    <xf numFmtId="0" fontId="0" fillId="7" borderId="17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0" fillId="7" borderId="18" xfId="0" applyFill="1" applyBorder="1" applyProtection="1">
      <protection hidden="1"/>
    </xf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165" fontId="2" fillId="7" borderId="3" xfId="2" applyNumberFormat="1" applyFill="1" applyBorder="1" applyProtection="1">
      <protection hidden="1"/>
    </xf>
    <xf numFmtId="165" fontId="2" fillId="7" borderId="3" xfId="2" applyNumberFormat="1" applyFont="1" applyFill="1" applyBorder="1" applyProtection="1">
      <protection hidden="1"/>
    </xf>
    <xf numFmtId="165" fontId="2" fillId="7" borderId="16" xfId="2" applyNumberFormat="1" applyFill="1" applyBorder="1" applyProtection="1">
      <protection hidden="1"/>
    </xf>
    <xf numFmtId="165" fontId="3" fillId="7" borderId="19" xfId="2" applyNumberFormat="1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Continuous"/>
    </xf>
    <xf numFmtId="0" fontId="0" fillId="8" borderId="0" xfId="0" applyFill="1" applyAlignment="1">
      <alignment horizontal="left"/>
    </xf>
    <xf numFmtId="37" fontId="0" fillId="8" borderId="0" xfId="0" applyNumberFormat="1" applyFill="1" applyAlignment="1">
      <alignment horizontal="centerContinuous"/>
    </xf>
    <xf numFmtId="0" fontId="0" fillId="9" borderId="0" xfId="0" applyFill="1"/>
    <xf numFmtId="37" fontId="0" fillId="8" borderId="0" xfId="0" applyNumberFormat="1" applyFill="1" applyAlignment="1">
      <alignment horizontal="center"/>
    </xf>
    <xf numFmtId="9" fontId="14" fillId="9" borderId="1" xfId="4" applyFont="1" applyFill="1" applyBorder="1"/>
    <xf numFmtId="0" fontId="0" fillId="9" borderId="20" xfId="0" applyFill="1" applyBorder="1"/>
    <xf numFmtId="0" fontId="0" fillId="0" borderId="0" xfId="0" applyAlignment="1">
      <alignment horizontal="centerContinuous"/>
    </xf>
    <xf numFmtId="37" fontId="0" fillId="0" borderId="0" xfId="0" applyNumberFormat="1"/>
    <xf numFmtId="165" fontId="2" fillId="0" borderId="14" xfId="2" applyNumberFormat="1" applyBorder="1"/>
    <xf numFmtId="165" fontId="2" fillId="0" borderId="0" xfId="2" applyNumberFormat="1" applyBorder="1"/>
    <xf numFmtId="165" fontId="2" fillId="0" borderId="13" xfId="2" applyNumberFormat="1" applyBorder="1"/>
    <xf numFmtId="165" fontId="2" fillId="0" borderId="0" xfId="2" applyNumberFormat="1" applyBorder="1" applyAlignment="1"/>
    <xf numFmtId="165" fontId="2" fillId="0" borderId="0" xfId="2" applyNumberFormat="1" applyBorder="1" applyAlignment="1">
      <alignment horizontal="centerContinuous"/>
    </xf>
    <xf numFmtId="165" fontId="2" fillId="0" borderId="13" xfId="2" applyNumberFormat="1" applyBorder="1" applyAlignment="1">
      <alignment horizontal="centerContinuous"/>
    </xf>
    <xf numFmtId="165" fontId="2" fillId="0" borderId="21" xfId="2" applyNumberFormat="1" applyBorder="1"/>
    <xf numFmtId="165" fontId="2" fillId="0" borderId="5" xfId="2" applyNumberFormat="1" applyBorder="1"/>
    <xf numFmtId="165" fontId="2" fillId="0" borderId="22" xfId="2" applyNumberFormat="1" applyBorder="1"/>
    <xf numFmtId="165" fontId="2" fillId="0" borderId="5" xfId="2" applyNumberFormat="1" applyBorder="1" applyAlignment="1"/>
    <xf numFmtId="165" fontId="2" fillId="0" borderId="5" xfId="2" applyNumberFormat="1" applyBorder="1" applyAlignment="1">
      <alignment horizontal="centerContinuous"/>
    </xf>
    <xf numFmtId="165" fontId="2" fillId="0" borderId="22" xfId="2" applyNumberFormat="1" applyBorder="1" applyAlignment="1">
      <alignment horizontal="centerContinuous"/>
    </xf>
    <xf numFmtId="165" fontId="2" fillId="9" borderId="0" xfId="3" applyNumberFormat="1" applyFill="1"/>
    <xf numFmtId="165" fontId="2" fillId="0" borderId="0" xfId="2" applyNumberFormat="1"/>
    <xf numFmtId="165" fontId="2" fillId="0" borderId="15" xfId="2" applyNumberFormat="1" applyBorder="1"/>
    <xf numFmtId="0" fontId="2" fillId="0" borderId="23" xfId="3" applyBorder="1"/>
    <xf numFmtId="14" fontId="0" fillId="0" borderId="14" xfId="0" applyNumberFormat="1" applyBorder="1"/>
    <xf numFmtId="0" fontId="2" fillId="0" borderId="13" xfId="3" applyBorder="1"/>
    <xf numFmtId="166" fontId="2" fillId="0" borderId="13" xfId="3" applyNumberFormat="1" applyBorder="1"/>
    <xf numFmtId="0" fontId="0" fillId="10" borderId="17" xfId="0" applyFill="1" applyBorder="1" applyProtection="1">
      <protection hidden="1"/>
    </xf>
    <xf numFmtId="0" fontId="0" fillId="10" borderId="4" xfId="0" applyFill="1" applyBorder="1" applyProtection="1">
      <protection locked="0" hidden="1"/>
    </xf>
    <xf numFmtId="0" fontId="0" fillId="10" borderId="1" xfId="0" applyFill="1" applyBorder="1" applyAlignment="1" applyProtection="1">
      <alignment horizontal="center"/>
      <protection locked="0" hidden="1"/>
    </xf>
    <xf numFmtId="0" fontId="0" fillId="10" borderId="1" xfId="0" applyFill="1" applyBorder="1" applyProtection="1">
      <protection locked="0"/>
    </xf>
    <xf numFmtId="0" fontId="3" fillId="0" borderId="0" xfId="0" applyFont="1" applyProtection="1">
      <protection hidden="1"/>
    </xf>
    <xf numFmtId="165" fontId="2" fillId="7" borderId="0" xfId="2" applyNumberFormat="1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7" xfId="2" applyNumberFormat="1" applyFont="1" applyFill="1" applyBorder="1" applyProtection="1">
      <protection hidden="1"/>
    </xf>
    <xf numFmtId="164" fontId="0" fillId="0" borderId="4" xfId="0" applyNumberFormat="1" applyBorder="1" applyProtection="1">
      <protection hidden="1"/>
    </xf>
    <xf numFmtId="165" fontId="0" fillId="7" borderId="17" xfId="2" applyNumberFormat="1" applyFont="1" applyFill="1" applyBorder="1" applyProtection="1">
      <protection hidden="1"/>
    </xf>
    <xf numFmtId="14" fontId="2" fillId="0" borderId="14" xfId="3" applyNumberFormat="1" applyBorder="1"/>
    <xf numFmtId="169" fontId="0" fillId="0" borderId="13" xfId="2" applyNumberFormat="1" applyFont="1" applyFill="1" applyBorder="1" applyProtection="1"/>
    <xf numFmtId="3" fontId="0" fillId="10" borderId="1" xfId="2" applyNumberFormat="1" applyFont="1" applyFill="1" applyBorder="1" applyProtection="1">
      <protection locked="0"/>
    </xf>
    <xf numFmtId="0" fontId="2" fillId="7" borderId="0" xfId="0" applyFont="1" applyFill="1" applyProtection="1">
      <protection hidden="1"/>
    </xf>
    <xf numFmtId="0" fontId="2" fillId="7" borderId="1" xfId="0" applyFont="1" applyFill="1" applyBorder="1" applyProtection="1">
      <protection hidden="1"/>
    </xf>
    <xf numFmtId="164" fontId="3" fillId="8" borderId="6" xfId="2" applyFont="1" applyFill="1" applyBorder="1" applyProtection="1">
      <protection hidden="1"/>
    </xf>
    <xf numFmtId="165" fontId="0" fillId="8" borderId="1" xfId="2" applyNumberFormat="1" applyFont="1" applyFill="1" applyBorder="1" applyProtection="1">
      <protection hidden="1"/>
    </xf>
    <xf numFmtId="165" fontId="0" fillId="8" borderId="5" xfId="2" applyNumberFormat="1" applyFont="1" applyFill="1" applyBorder="1" applyProtection="1">
      <protection hidden="1"/>
    </xf>
    <xf numFmtId="165" fontId="0" fillId="8" borderId="0" xfId="2" applyNumberFormat="1" applyFont="1" applyFill="1" applyProtection="1">
      <protection hidden="1"/>
    </xf>
    <xf numFmtId="165" fontId="3" fillId="8" borderId="6" xfId="2" applyNumberFormat="1" applyFont="1" applyFill="1" applyBorder="1" applyProtection="1">
      <protection hidden="1"/>
    </xf>
    <xf numFmtId="0" fontId="0" fillId="11" borderId="0" xfId="0" applyFill="1" applyProtection="1">
      <protection hidden="1"/>
    </xf>
    <xf numFmtId="0" fontId="3" fillId="7" borderId="25" xfId="0" applyFont="1" applyFill="1" applyBorder="1" applyProtection="1">
      <protection hidden="1"/>
    </xf>
    <xf numFmtId="164" fontId="0" fillId="7" borderId="25" xfId="2" applyFont="1" applyFill="1" applyBorder="1" applyProtection="1">
      <protection hidden="1"/>
    </xf>
    <xf numFmtId="0" fontId="0" fillId="7" borderId="25" xfId="0" applyFill="1" applyBorder="1" applyProtection="1">
      <protection hidden="1"/>
    </xf>
    <xf numFmtId="164" fontId="0" fillId="7" borderId="0" xfId="2" applyFont="1" applyFill="1" applyProtection="1">
      <protection hidden="1"/>
    </xf>
    <xf numFmtId="164" fontId="2" fillId="7" borderId="0" xfId="2" applyFill="1" applyProtection="1">
      <protection hidden="1"/>
    </xf>
    <xf numFmtId="164" fontId="2" fillId="7" borderId="5" xfId="2" applyFill="1" applyBorder="1" applyProtection="1">
      <protection hidden="1"/>
    </xf>
    <xf numFmtId="164" fontId="0" fillId="7" borderId="4" xfId="0" applyNumberFormat="1" applyFill="1" applyBorder="1" applyProtection="1">
      <protection hidden="1"/>
    </xf>
    <xf numFmtId="164" fontId="3" fillId="7" borderId="6" xfId="2" applyFont="1" applyFill="1" applyBorder="1" applyProtection="1">
      <protection hidden="1"/>
    </xf>
    <xf numFmtId="14" fontId="15" fillId="0" borderId="0" xfId="5" applyNumberFormat="1"/>
    <xf numFmtId="165" fontId="2" fillId="12" borderId="14" xfId="2" applyNumberFormat="1" applyFill="1" applyBorder="1"/>
    <xf numFmtId="165" fontId="2" fillId="12" borderId="13" xfId="2" applyNumberFormat="1" applyFill="1" applyBorder="1"/>
    <xf numFmtId="0" fontId="16" fillId="13" borderId="26" xfId="6"/>
    <xf numFmtId="14" fontId="16" fillId="13" borderId="26" xfId="6" applyNumberFormat="1"/>
    <xf numFmtId="0" fontId="11" fillId="8" borderId="0" xfId="3" applyFont="1" applyFill="1" applyAlignment="1">
      <alignment horizontal="center"/>
    </xf>
    <xf numFmtId="165" fontId="17" fillId="14" borderId="21" xfId="7" applyNumberFormat="1" applyBorder="1"/>
    <xf numFmtId="165" fontId="17" fillId="14" borderId="5" xfId="7" applyNumberFormat="1" applyBorder="1"/>
    <xf numFmtId="165" fontId="17" fillId="14" borderId="22" xfId="2" applyNumberFormat="1" applyFont="1" applyFill="1" applyBorder="1"/>
    <xf numFmtId="165" fontId="17" fillId="14" borderId="14" xfId="7" applyNumberFormat="1" applyBorder="1"/>
    <xf numFmtId="0" fontId="3" fillId="8" borderId="0" xfId="0" applyFont="1" applyFill="1" applyAlignment="1" applyProtection="1">
      <alignment wrapText="1"/>
      <protection hidden="1"/>
    </xf>
    <xf numFmtId="0" fontId="19" fillId="0" borderId="0" xfId="0" applyFont="1" applyAlignment="1">
      <alignment horizontal="left" vertical="center" readingOrder="1"/>
    </xf>
    <xf numFmtId="0" fontId="2" fillId="0" borderId="0" xfId="0" applyFont="1"/>
    <xf numFmtId="14" fontId="0" fillId="0" borderId="0" xfId="0" applyNumberFormat="1"/>
    <xf numFmtId="0" fontId="0" fillId="0" borderId="5" xfId="0" applyBorder="1"/>
    <xf numFmtId="0" fontId="3" fillId="0" borderId="5" xfId="0" applyFont="1" applyBorder="1"/>
    <xf numFmtId="0" fontId="16" fillId="13" borderId="26" xfId="6" applyProtection="1">
      <protection locked="0" hidden="1"/>
    </xf>
    <xf numFmtId="0" fontId="16" fillId="13" borderId="26" xfId="6" applyAlignment="1" applyProtection="1">
      <alignment horizontal="right"/>
      <protection locked="0" hidden="1"/>
    </xf>
    <xf numFmtId="165" fontId="16" fillId="13" borderId="26" xfId="6" applyNumberFormat="1" applyAlignment="1" applyProtection="1">
      <alignment horizontal="right"/>
      <protection locked="0" hidden="1"/>
    </xf>
    <xf numFmtId="0" fontId="15" fillId="0" borderId="0" xfId="5"/>
    <xf numFmtId="165" fontId="0" fillId="0" borderId="0" xfId="2" applyNumberFormat="1" applyFont="1"/>
    <xf numFmtId="165" fontId="2" fillId="0" borderId="0" xfId="2" applyNumberFormat="1" applyFont="1"/>
    <xf numFmtId="17" fontId="0" fillId="0" borderId="0" xfId="0" applyNumberFormat="1"/>
    <xf numFmtId="165" fontId="2" fillId="12" borderId="0" xfId="2" applyNumberFormat="1" applyFill="1" applyBorder="1"/>
    <xf numFmtId="165" fontId="1" fillId="20" borderId="14" xfId="13" applyNumberFormat="1" applyFill="1" applyBorder="1"/>
    <xf numFmtId="165" fontId="1" fillId="20" borderId="0" xfId="13" applyNumberFormat="1" applyFill="1" applyBorder="1" applyAlignment="1"/>
    <xf numFmtId="165" fontId="1" fillId="20" borderId="0" xfId="13" applyNumberFormat="1" applyFill="1" applyBorder="1" applyAlignment="1">
      <alignment horizontal="centerContinuous"/>
    </xf>
    <xf numFmtId="165" fontId="1" fillId="20" borderId="13" xfId="13" applyNumberFormat="1" applyFill="1" applyBorder="1" applyAlignment="1">
      <alignment horizontal="centerContinuous"/>
    </xf>
    <xf numFmtId="165" fontId="1" fillId="18" borderId="0" xfId="11" applyNumberFormat="1" applyBorder="1"/>
    <xf numFmtId="165" fontId="1" fillId="18" borderId="13" xfId="11" applyNumberFormat="1" applyBorder="1" applyAlignment="1">
      <alignment horizontal="centerContinuous"/>
    </xf>
    <xf numFmtId="164" fontId="2" fillId="20" borderId="0" xfId="2" applyFill="1"/>
    <xf numFmtId="165" fontId="1" fillId="18" borderId="0" xfId="11" applyNumberFormat="1" applyBorder="1" applyAlignment="1">
      <alignment horizontal="centerContinuous"/>
    </xf>
    <xf numFmtId="164" fontId="2" fillId="20" borderId="0" xfId="2" applyFill="1" applyAlignment="1">
      <alignment horizontal="center"/>
    </xf>
    <xf numFmtId="165" fontId="2" fillId="12" borderId="21" xfId="2" applyNumberFormat="1" applyFill="1" applyBorder="1"/>
    <xf numFmtId="165" fontId="2" fillId="12" borderId="5" xfId="2" applyNumberFormat="1" applyFill="1" applyBorder="1"/>
    <xf numFmtId="165" fontId="2" fillId="12" borderId="22" xfId="2" applyNumberFormat="1" applyFill="1" applyBorder="1"/>
    <xf numFmtId="165" fontId="1" fillId="20" borderId="21" xfId="13" applyNumberFormat="1" applyFill="1" applyBorder="1"/>
    <xf numFmtId="165" fontId="1" fillId="20" borderId="5" xfId="13" applyNumberFormat="1" applyFill="1" applyBorder="1" applyAlignment="1"/>
    <xf numFmtId="165" fontId="1" fillId="20" borderId="5" xfId="13" applyNumberFormat="1" applyFill="1" applyBorder="1" applyAlignment="1">
      <alignment horizontal="centerContinuous"/>
    </xf>
    <xf numFmtId="165" fontId="1" fillId="20" borderId="22" xfId="13" applyNumberFormat="1" applyFill="1" applyBorder="1" applyAlignment="1">
      <alignment horizontal="centerContinuous"/>
    </xf>
    <xf numFmtId="165" fontId="1" fillId="18" borderId="5" xfId="11" applyNumberFormat="1" applyBorder="1" applyAlignment="1">
      <alignment horizontal="centerContinuous"/>
    </xf>
    <xf numFmtId="165" fontId="1" fillId="18" borderId="22" xfId="11" applyNumberFormat="1" applyBorder="1" applyAlignment="1">
      <alignment horizontal="centerContinuous"/>
    </xf>
    <xf numFmtId="165" fontId="0" fillId="0" borderId="0" xfId="0" applyNumberFormat="1"/>
    <xf numFmtId="165" fontId="17" fillId="19" borderId="21" xfId="12" applyNumberFormat="1" applyBorder="1"/>
    <xf numFmtId="165" fontId="17" fillId="19" borderId="5" xfId="12" applyNumberFormat="1" applyBorder="1" applyAlignment="1"/>
    <xf numFmtId="165" fontId="17" fillId="19" borderId="5" xfId="12" applyNumberFormat="1" applyBorder="1" applyAlignment="1">
      <alignment horizontal="centerContinuous"/>
    </xf>
    <xf numFmtId="165" fontId="17" fillId="19" borderId="22" xfId="12" applyNumberFormat="1" applyBorder="1" applyAlignment="1">
      <alignment horizontal="centerContinuous"/>
    </xf>
    <xf numFmtId="165" fontId="17" fillId="19" borderId="14" xfId="12" applyNumberFormat="1" applyBorder="1"/>
    <xf numFmtId="165" fontId="17" fillId="19" borderId="0" xfId="12" applyNumberFormat="1" applyBorder="1" applyAlignment="1"/>
    <xf numFmtId="165" fontId="17" fillId="19" borderId="0" xfId="12" applyNumberFormat="1" applyBorder="1" applyAlignment="1">
      <alignment horizontal="centerContinuous"/>
    </xf>
    <xf numFmtId="165" fontId="17" fillId="19" borderId="13" xfId="12" applyNumberFormat="1" applyBorder="1" applyAlignment="1">
      <alignment horizontal="centerContinuous"/>
    </xf>
    <xf numFmtId="165" fontId="2" fillId="0" borderId="0" xfId="2" applyNumberFormat="1" applyAlignment="1"/>
    <xf numFmtId="165" fontId="2" fillId="0" borderId="0" xfId="2" applyNumberFormat="1" applyAlignment="1">
      <alignment horizontal="centerContinuous"/>
    </xf>
    <xf numFmtId="171" fontId="2" fillId="0" borderId="0" xfId="2" applyNumberFormat="1"/>
    <xf numFmtId="164" fontId="1" fillId="16" borderId="0" xfId="9" applyNumberFormat="1"/>
    <xf numFmtId="165" fontId="0" fillId="8" borderId="0" xfId="2" applyNumberFormat="1" applyFont="1" applyFill="1" applyAlignment="1">
      <alignment horizontal="centerContinuous"/>
    </xf>
    <xf numFmtId="0" fontId="20" fillId="0" borderId="0" xfId="0" applyFont="1"/>
    <xf numFmtId="0" fontId="18" fillId="15" borderId="0" xfId="8"/>
    <xf numFmtId="0" fontId="21" fillId="15" borderId="0" xfId="8" applyFont="1"/>
    <xf numFmtId="14" fontId="18" fillId="15" borderId="0" xfId="8" applyNumberFormat="1"/>
    <xf numFmtId="0" fontId="2" fillId="8" borderId="0" xfId="0" applyFont="1" applyFill="1" applyAlignment="1">
      <alignment horizontal="center" wrapText="1"/>
    </xf>
    <xf numFmtId="165" fontId="2" fillId="8" borderId="0" xfId="2" applyNumberFormat="1" applyFont="1" applyFill="1" applyAlignment="1">
      <alignment horizontal="center" wrapText="1"/>
    </xf>
    <xf numFmtId="0" fontId="11" fillId="8" borderId="0" xfId="0" applyFont="1" applyFill="1" applyAlignment="1">
      <alignment horizontal="center"/>
    </xf>
    <xf numFmtId="14" fontId="0" fillId="0" borderId="0" xfId="2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1" fillId="17" borderId="0" xfId="10" applyNumberFormat="1"/>
    <xf numFmtId="168" fontId="2" fillId="0" borderId="0" xfId="2" applyNumberFormat="1" applyFont="1"/>
    <xf numFmtId="172" fontId="0" fillId="0" borderId="0" xfId="0" applyNumberFormat="1"/>
    <xf numFmtId="0" fontId="16" fillId="13" borderId="26" xfId="6" applyProtection="1">
      <protection locked="0"/>
    </xf>
    <xf numFmtId="0" fontId="16" fillId="13" borderId="26" xfId="6" applyAlignment="1" applyProtection="1">
      <alignment horizontal="right"/>
      <protection locked="0"/>
    </xf>
    <xf numFmtId="165" fontId="16" fillId="13" borderId="26" xfId="6" applyNumberFormat="1" applyAlignment="1" applyProtection="1">
      <alignment horizontal="right"/>
      <protection locked="0"/>
    </xf>
    <xf numFmtId="164" fontId="0" fillId="7" borderId="0" xfId="2" applyFont="1" applyFill="1"/>
    <xf numFmtId="14" fontId="16" fillId="13" borderId="26" xfId="6" applyNumberFormat="1" applyProtection="1">
      <protection locked="0"/>
    </xf>
    <xf numFmtId="165" fontId="16" fillId="13" borderId="26" xfId="6" applyNumberFormat="1" applyProtection="1">
      <protection locked="0"/>
    </xf>
    <xf numFmtId="10" fontId="16" fillId="13" borderId="26" xfId="6" applyNumberFormat="1" applyProtection="1">
      <protection locked="0" hidden="1"/>
    </xf>
    <xf numFmtId="10" fontId="16" fillId="13" borderId="26" xfId="6" applyNumberFormat="1" applyProtection="1">
      <protection locked="0"/>
    </xf>
    <xf numFmtId="165" fontId="0" fillId="0" borderId="5" xfId="2" applyNumberFormat="1" applyFont="1" applyBorder="1"/>
    <xf numFmtId="164" fontId="1" fillId="16" borderId="5" xfId="9" applyNumberFormat="1" applyBorder="1"/>
    <xf numFmtId="0" fontId="2" fillId="0" borderId="5" xfId="0" applyFont="1" applyBorder="1"/>
    <xf numFmtId="164" fontId="2" fillId="0" borderId="5" xfId="2" applyBorder="1"/>
    <xf numFmtId="0" fontId="2" fillId="0" borderId="5" xfId="3" applyBorder="1"/>
    <xf numFmtId="164" fontId="1" fillId="17" borderId="5" xfId="10" applyNumberFormat="1" applyBorder="1"/>
    <xf numFmtId="164" fontId="2" fillId="0" borderId="5" xfId="1" applyBorder="1"/>
    <xf numFmtId="0" fontId="0" fillId="8" borderId="5" xfId="0" applyFill="1" applyBorder="1" applyAlignment="1">
      <alignment horizontal="center"/>
    </xf>
    <xf numFmtId="165" fontId="2" fillId="0" borderId="5" xfId="3" applyNumberFormat="1" applyBorder="1"/>
    <xf numFmtId="164" fontId="0" fillId="0" borderId="5" xfId="0" applyNumberFormat="1" applyBorder="1"/>
    <xf numFmtId="0" fontId="0" fillId="21" borderId="0" xfId="0" applyFill="1"/>
    <xf numFmtId="164" fontId="1" fillId="22" borderId="0" xfId="9" applyNumberFormat="1" applyFill="1"/>
    <xf numFmtId="164" fontId="2" fillId="21" borderId="0" xfId="2" applyFill="1"/>
    <xf numFmtId="0" fontId="2" fillId="21" borderId="0" xfId="3" applyFill="1"/>
    <xf numFmtId="164" fontId="1" fillId="23" borderId="0" xfId="10" applyNumberFormat="1" applyFill="1"/>
    <xf numFmtId="164" fontId="2" fillId="21" borderId="0" xfId="1" applyFill="1"/>
    <xf numFmtId="0" fontId="0" fillId="24" borderId="0" xfId="0" applyFill="1" applyAlignment="1">
      <alignment horizontal="center"/>
    </xf>
    <xf numFmtId="165" fontId="2" fillId="21" borderId="14" xfId="2" applyNumberFormat="1" applyFill="1" applyBorder="1"/>
    <xf numFmtId="165" fontId="2" fillId="21" borderId="0" xfId="2" applyNumberFormat="1" applyFill="1" applyBorder="1"/>
    <xf numFmtId="165" fontId="2" fillId="21" borderId="13" xfId="2" applyNumberFormat="1" applyFill="1" applyBorder="1"/>
    <xf numFmtId="165" fontId="2" fillId="21" borderId="0" xfId="2" applyNumberFormat="1" applyFill="1" applyBorder="1" applyAlignment="1"/>
    <xf numFmtId="165" fontId="2" fillId="21" borderId="0" xfId="2" applyNumberFormat="1" applyFill="1" applyBorder="1" applyAlignment="1">
      <alignment horizontal="centerContinuous"/>
    </xf>
    <xf numFmtId="165" fontId="2" fillId="21" borderId="13" xfId="2" applyNumberFormat="1" applyFill="1" applyBorder="1" applyAlignment="1">
      <alignment horizontal="centerContinuous"/>
    </xf>
    <xf numFmtId="165" fontId="2" fillId="21" borderId="0" xfId="3" applyNumberFormat="1" applyFill="1"/>
    <xf numFmtId="164" fontId="0" fillId="21" borderId="0" xfId="0" applyNumberFormat="1" applyFill="1"/>
    <xf numFmtId="165" fontId="0" fillId="21" borderId="0" xfId="2" applyNumberFormat="1" applyFont="1" applyFill="1"/>
    <xf numFmtId="165" fontId="2" fillId="21" borderId="21" xfId="2" applyNumberFormat="1" applyFill="1" applyBorder="1"/>
    <xf numFmtId="165" fontId="2" fillId="21" borderId="5" xfId="2" applyNumberFormat="1" applyFill="1" applyBorder="1"/>
    <xf numFmtId="165" fontId="2" fillId="21" borderId="22" xfId="2" applyNumberFormat="1" applyFill="1" applyBorder="1"/>
    <xf numFmtId="165" fontId="2" fillId="21" borderId="5" xfId="2" applyNumberFormat="1" applyFill="1" applyBorder="1" applyAlignment="1"/>
    <xf numFmtId="165" fontId="2" fillId="21" borderId="5" xfId="2" applyNumberFormat="1" applyFill="1" applyBorder="1" applyAlignment="1">
      <alignment horizontal="centerContinuous"/>
    </xf>
    <xf numFmtId="165" fontId="2" fillId="21" borderId="22" xfId="2" applyNumberFormat="1" applyFill="1" applyBorder="1" applyAlignment="1">
      <alignment horizontal="centerContinuous"/>
    </xf>
    <xf numFmtId="0" fontId="24" fillId="7" borderId="0" xfId="0" applyFont="1" applyFill="1" applyProtection="1">
      <protection hidden="1"/>
    </xf>
    <xf numFmtId="0" fontId="25" fillId="7" borderId="0" xfId="0" applyFont="1" applyFill="1" applyProtection="1">
      <protection hidden="1"/>
    </xf>
    <xf numFmtId="0" fontId="25" fillId="7" borderId="5" xfId="0" applyFont="1" applyFill="1" applyBorder="1" applyProtection="1">
      <protection hidden="1"/>
    </xf>
    <xf numFmtId="165" fontId="24" fillId="7" borderId="0" xfId="2" applyNumberFormat="1" applyFont="1" applyFill="1" applyBorder="1" applyProtection="1">
      <protection hidden="1"/>
    </xf>
    <xf numFmtId="165" fontId="25" fillId="7" borderId="0" xfId="2" applyNumberFormat="1" applyFont="1" applyFill="1" applyProtection="1">
      <protection hidden="1"/>
    </xf>
    <xf numFmtId="165" fontId="25" fillId="7" borderId="0" xfId="2" applyNumberFormat="1" applyFont="1" applyFill="1" applyBorder="1" applyProtection="1">
      <protection hidden="1"/>
    </xf>
    <xf numFmtId="164" fontId="25" fillId="7" borderId="25" xfId="2" applyFont="1" applyFill="1" applyBorder="1" applyProtection="1">
      <protection hidden="1"/>
    </xf>
    <xf numFmtId="0" fontId="24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5" fillId="0" borderId="7" xfId="0" applyFont="1" applyBorder="1" applyProtection="1">
      <protection hidden="1"/>
    </xf>
    <xf numFmtId="0" fontId="25" fillId="0" borderId="8" xfId="0" applyFont="1" applyBorder="1" applyProtection="1">
      <protection hidden="1"/>
    </xf>
    <xf numFmtId="165" fontId="25" fillId="0" borderId="7" xfId="0" applyNumberFormat="1" applyFont="1" applyBorder="1" applyProtection="1">
      <protection hidden="1"/>
    </xf>
    <xf numFmtId="0" fontId="25" fillId="0" borderId="25" xfId="0" applyFont="1" applyBorder="1" applyProtection="1">
      <protection hidden="1"/>
    </xf>
    <xf numFmtId="0" fontId="24" fillId="7" borderId="0" xfId="0" applyFont="1" applyFill="1"/>
    <xf numFmtId="0" fontId="25" fillId="7" borderId="0" xfId="0" applyFont="1" applyFill="1"/>
    <xf numFmtId="164" fontId="25" fillId="7" borderId="0" xfId="2" applyFont="1" applyFill="1" applyProtection="1">
      <protection hidden="1"/>
    </xf>
    <xf numFmtId="164" fontId="25" fillId="7" borderId="0" xfId="2" applyFont="1" applyFill="1" applyBorder="1" applyProtection="1">
      <protection hidden="1"/>
    </xf>
    <xf numFmtId="164" fontId="25" fillId="7" borderId="0" xfId="0" applyNumberFormat="1" applyFont="1" applyFill="1"/>
    <xf numFmtId="165" fontId="25" fillId="7" borderId="0" xfId="0" applyNumberFormat="1" applyFont="1" applyFill="1"/>
    <xf numFmtId="0" fontId="2" fillId="0" borderId="0" xfId="0" applyFont="1"/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right"/>
    </xf>
    <xf numFmtId="0" fontId="0" fillId="7" borderId="0" xfId="0" applyFill="1"/>
  </cellXfs>
  <cellStyles count="14">
    <cellStyle name="1000-sep (2 dec)_Lønstatus Sygehjælpere (jan07-okt07)" xfId="1" xr:uid="{00000000-0005-0000-0000-000000000000}"/>
    <cellStyle name="20 % - Farve1" xfId="9" builtinId="30"/>
    <cellStyle name="20 % - Farve2" xfId="10" builtinId="34"/>
    <cellStyle name="60 % - Farve4" xfId="11" builtinId="44"/>
    <cellStyle name="Farve1" xfId="7" builtinId="29"/>
    <cellStyle name="Farve5" xfId="12" builtinId="45"/>
    <cellStyle name="Forklarende tekst" xfId="5" builtinId="53"/>
    <cellStyle name="Input" xfId="6" builtinId="20"/>
    <cellStyle name="Komma" xfId="2" builtinId="3"/>
    <cellStyle name="Komma 2" xfId="13" xr:uid="{40C748C2-125E-4579-92A8-6FE68DF4369C}"/>
    <cellStyle name="Neutral" xfId="8" builtinId="28"/>
    <cellStyle name="Normal" xfId="0" builtinId="0"/>
    <cellStyle name="Normal_Lønstatus Sygehjælpere (jan07-okt07)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95250</xdr:rowOff>
    </xdr:from>
    <xdr:to>
      <xdr:col>11</xdr:col>
      <xdr:colOff>161925</xdr:colOff>
      <xdr:row>9</xdr:row>
      <xdr:rowOff>295275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581025" y="95250"/>
          <a:ext cx="6286500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Lønomkostningsberegner - KL-området</a:t>
          </a: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Nedenstående omkostningsberegninger viser "brutto"-beløb (løn, pension/fritvalgstillæg og ferietillæg) - og viser således arbejdsgivers </a:t>
          </a: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samlede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lønomkostning ved nyansættelser og forskellige lokalt aftalte lønforbedringer, som de tager sig ud på det tidspunkt, hvor aftalen indgås. 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Vælg først det dato, der svarer til aftaletidspunktet. </a:t>
          </a:r>
          <a:r>
            <a:rPr lang="da-DK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Lønniveau på den valgte dato 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er så udgangspunkt for alle beregninger.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(Ajourført 13. april 2025)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57150</xdr:rowOff>
    </xdr:from>
    <xdr:to>
      <xdr:col>9</xdr:col>
      <xdr:colOff>406400</xdr:colOff>
      <xdr:row>8</xdr:row>
      <xdr:rowOff>142875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 txBox="1">
          <a:spLocks noChangeArrowheads="1"/>
        </xdr:cNvSpPr>
      </xdr:nvSpPr>
      <xdr:spPr bwMode="auto">
        <a:xfrm>
          <a:off x="495300" y="215900"/>
          <a:ext cx="6496050" cy="137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få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"oversat"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beløb fra hhv. til '31.3.2000-niveau'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Hvis der aftales tillæg i 31.3.2000-niveau, hvad er de værd på et givet tidspunkt?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eller omvendt: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 Hvis man ønsker at aftale et reguleret tillæg med en given værdi i nutidskr,. hvilket beløb skal det så angives  i '31.3.2000-niveau'?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Indtast det aktuelle timetal og det beløb, der skal omregnes i de farvede felter.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8</xdr:col>
      <xdr:colOff>733425</xdr:colOff>
      <xdr:row>4</xdr:row>
      <xdr:rowOff>95250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1514475" y="200025"/>
          <a:ext cx="45339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Omregningstabel: Hvad er et givet beløb på et givet niveau værd i nutids-kroner???</a:t>
          </a:r>
        </a:p>
        <a:p>
          <a:pPr algn="ctr" rtl="0">
            <a:defRPr sz="1000"/>
          </a:pPr>
          <a:endParaRPr lang="da-DK" sz="1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1066800</xdr:colOff>
      <xdr:row>6</xdr:row>
      <xdr:rowOff>66675</xdr:rowOff>
    </xdr:from>
    <xdr:to>
      <xdr:col>1</xdr:col>
      <xdr:colOff>1219200</xdr:colOff>
      <xdr:row>6</xdr:row>
      <xdr:rowOff>142875</xdr:rowOff>
    </xdr:to>
    <xdr:sp macro="" textlink="">
      <xdr:nvSpPr>
        <xdr:cNvPr id="18448" name="AutoShape 2">
          <a:extLst>
            <a:ext uri="{FF2B5EF4-FFF2-40B4-BE49-F238E27FC236}">
              <a16:creationId xmlns:a16="http://schemas.microsoft.com/office/drawing/2014/main" id="{00000000-0008-0000-0500-000010480000}"/>
            </a:ext>
          </a:extLst>
        </xdr:cNvPr>
        <xdr:cNvSpPr>
          <a:spLocks noChangeArrowheads="1"/>
        </xdr:cNvSpPr>
      </xdr:nvSpPr>
      <xdr:spPr bwMode="auto">
        <a:xfrm>
          <a:off x="1362075" y="1038225"/>
          <a:ext cx="152400" cy="76200"/>
        </a:xfrm>
        <a:prstGeom prst="righ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9525</xdr:rowOff>
    </xdr:from>
    <xdr:to>
      <xdr:col>7</xdr:col>
      <xdr:colOff>190500</xdr:colOff>
      <xdr:row>1</xdr:row>
      <xdr:rowOff>1152525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600-000015080000}"/>
            </a:ext>
          </a:extLst>
        </xdr:cNvPr>
        <xdr:cNvSpPr txBox="1">
          <a:spLocks noChangeArrowheads="1"/>
        </xdr:cNvSpPr>
      </xdr:nvSpPr>
      <xdr:spPr bwMode="auto">
        <a:xfrm>
          <a:off x="304800" y="171450"/>
          <a:ext cx="5143500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den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årlige bruttoudgift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tillæg af løntrin.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 og ferietillæg, kan du beregne merudgiften ved tillæg af et vilkårligt antalt løntrin fra løntrin 11 til løntrin 56.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18</xdr:row>
          <xdr:rowOff>114300</xdr:rowOff>
        </xdr:from>
        <xdr:to>
          <xdr:col>2</xdr:col>
          <xdr:colOff>508000</xdr:colOff>
          <xdr:row>20</xdr:row>
          <xdr:rowOff>120650</xdr:rowOff>
        </xdr:to>
        <xdr:sp macro="" textlink="">
          <xdr:nvSpPr>
            <xdr:cNvPr id="2070" name="CommandButton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180975</xdr:rowOff>
    </xdr:from>
    <xdr:to>
      <xdr:col>7</xdr:col>
      <xdr:colOff>400050</xdr:colOff>
      <xdr:row>0</xdr:row>
      <xdr:rowOff>1533525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700-000003300000}"/>
            </a:ext>
          </a:extLst>
        </xdr:cNvPr>
        <xdr:cNvSpPr txBox="1">
          <a:spLocks noChangeArrowheads="1"/>
        </xdr:cNvSpPr>
      </xdr:nvSpPr>
      <xdr:spPr bwMode="auto">
        <a:xfrm>
          <a:off x="361950" y="180975"/>
          <a:ext cx="6067425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finde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den aktuelle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ved tillæg af kr.-tillæg baseret på  31.3.2000 niveau.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beløb angivet i 31.3.2000 niveau, timetal, pension og ferietillæg, vises den samlede lønudgift pr. år og pr. måned. 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17</xdr:row>
          <xdr:rowOff>69850</xdr:rowOff>
        </xdr:from>
        <xdr:to>
          <xdr:col>2</xdr:col>
          <xdr:colOff>1936750</xdr:colOff>
          <xdr:row>19</xdr:row>
          <xdr:rowOff>76200</xdr:rowOff>
        </xdr:to>
        <xdr:sp macro="" textlink="">
          <xdr:nvSpPr>
            <xdr:cNvPr id="12292" name="CommandButton1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403225</xdr:colOff>
      <xdr:row>0</xdr:row>
      <xdr:rowOff>57149</xdr:rowOff>
    </xdr:from>
    <xdr:to>
      <xdr:col>7</xdr:col>
      <xdr:colOff>914400</xdr:colOff>
      <xdr:row>0</xdr:row>
      <xdr:rowOff>1714500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800-0000013C0000}"/>
            </a:ext>
          </a:extLst>
        </xdr:cNvPr>
        <xdr:cNvSpPr txBox="1">
          <a:spLocks noChangeArrowheads="1"/>
        </xdr:cNvSpPr>
      </xdr:nvSpPr>
      <xdr:spPr bwMode="auto">
        <a:xfrm>
          <a:off x="403225" y="57149"/>
          <a:ext cx="6886575" cy="16573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beregne, hvad ændringer i lønsammensætning og ændring i ugentligt timetal  vil koste / hvad det vil give ekstra i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pensions- og evt. fritvalgsprocent og ferietillægs-%, aktuel lønsammensætning og timetal og  vises bruttomkostning / bruttogevinst ved ændringer i lønsammensætning og eller ændringer i timetal.</a:t>
          </a:r>
          <a:endParaRPr lang="da-DK" sz="6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Grundoplysninger indtastes i de farvede felter. </a:t>
          </a:r>
          <a:r>
            <a:rPr lang="da-DK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Grundoplysningerne fremgår af lønseddel.</a:t>
          </a:r>
          <a:endParaRPr lang="da-DK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(Beregningsforudsætning: HELE den faste månedsløn er pensionsgivende)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123825</xdr:rowOff>
    </xdr:from>
    <xdr:to>
      <xdr:col>7</xdr:col>
      <xdr:colOff>514350</xdr:colOff>
      <xdr:row>0</xdr:row>
      <xdr:rowOff>1628775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900-0000032C0000}"/>
            </a:ext>
          </a:extLst>
        </xdr:cNvPr>
        <xdr:cNvSpPr txBox="1">
          <a:spLocks noChangeArrowheads="1"/>
        </xdr:cNvSpPr>
      </xdr:nvSpPr>
      <xdr:spPr bwMode="auto">
        <a:xfrm>
          <a:off x="200025" y="123825"/>
          <a:ext cx="571500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Nyansættelser: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ansættelse på et vilkårligt løntrin og med et vilkårligt reguleret kr. tillæg.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pensions- og evt. fritvalgsprocent samt ferietillæg, vises den samlede bruttoløn pr. år og pr. måned på et vilkårligt løntrin, fra løntrin 11 til løntrin 55+ og reguleret tillæg i 31.3.2000-niveau.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 farvede felter.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F581"/>
  <sheetViews>
    <sheetView workbookViewId="0">
      <selection activeCell="B1" sqref="B1"/>
    </sheetView>
  </sheetViews>
  <sheetFormatPr defaultRowHeight="13" x14ac:dyDescent="0.3"/>
  <cols>
    <col min="1" max="1" width="11.54296875" style="1" customWidth="1"/>
    <col min="2" max="2" width="18.453125" customWidth="1"/>
    <col min="3" max="3" width="11.54296875" customWidth="1"/>
    <col min="4" max="4" width="13.7265625" customWidth="1"/>
    <col min="5" max="5" width="15.54296875" style="8" customWidth="1"/>
    <col min="6" max="6" width="11.54296875" style="3" customWidth="1"/>
  </cols>
  <sheetData>
    <row r="1" spans="1:6" x14ac:dyDescent="0.3">
      <c r="B1">
        <v>1.3980790000000001</v>
      </c>
    </row>
    <row r="2" spans="1:6" x14ac:dyDescent="0.3">
      <c r="A2" s="4"/>
      <c r="B2" s="5"/>
      <c r="C2" s="5"/>
      <c r="D2" s="5" t="s">
        <v>1</v>
      </c>
      <c r="E2" s="9" t="s">
        <v>1</v>
      </c>
      <c r="F2" s="6"/>
    </row>
    <row r="3" spans="1:6" ht="38" x14ac:dyDescent="0.3">
      <c r="A3" s="10" t="s">
        <v>15</v>
      </c>
      <c r="B3" s="11" t="s">
        <v>16</v>
      </c>
      <c r="C3" s="5"/>
      <c r="D3" s="5" t="s">
        <v>2</v>
      </c>
      <c r="E3" s="9" t="s">
        <v>2</v>
      </c>
      <c r="F3" s="6"/>
    </row>
    <row r="4" spans="1:6" x14ac:dyDescent="0.3">
      <c r="A4" s="4"/>
      <c r="B4" s="5"/>
      <c r="C4" s="5"/>
      <c r="D4" s="5" t="s">
        <v>4</v>
      </c>
      <c r="E4" s="9" t="s">
        <v>3</v>
      </c>
      <c r="F4" s="6"/>
    </row>
    <row r="5" spans="1:6" x14ac:dyDescent="0.3">
      <c r="A5" s="4"/>
      <c r="B5" s="5"/>
      <c r="C5" s="5"/>
      <c r="D5" s="5"/>
      <c r="E5" s="9"/>
      <c r="F5" s="6" t="s">
        <v>5</v>
      </c>
    </row>
    <row r="6" spans="1:6" x14ac:dyDescent="0.3">
      <c r="A6" s="4"/>
      <c r="B6" s="5" t="s">
        <v>7</v>
      </c>
      <c r="C6" s="5" t="s">
        <v>0</v>
      </c>
      <c r="D6" s="5"/>
      <c r="E6" s="9"/>
      <c r="F6" s="7" t="s">
        <v>6</v>
      </c>
    </row>
    <row r="7" spans="1:6" x14ac:dyDescent="0.3">
      <c r="A7" s="1">
        <v>1.63</v>
      </c>
      <c r="B7" s="1">
        <f t="shared" ref="B7:B61" si="0">IF(A7&lt;1000,$B$1*A7,ROUND($B$1*A7,0))</f>
        <v>2.2788687699999999</v>
      </c>
      <c r="D7" s="2">
        <f>B7</f>
        <v>2.2788687699999999</v>
      </c>
      <c r="E7" s="12">
        <f t="shared" ref="E7:E38" si="1">IF(D7&lt;1000,D7,ROUND(D7,-2))</f>
        <v>2.2788687699999999</v>
      </c>
    </row>
    <row r="8" spans="1:6" x14ac:dyDescent="0.3">
      <c r="A8" s="1">
        <v>5</v>
      </c>
      <c r="B8" s="1">
        <f t="shared" si="0"/>
        <v>6.9903950000000004</v>
      </c>
      <c r="D8" s="2">
        <f t="shared" ref="D8:D33" si="2">B8</f>
        <v>6.9903950000000004</v>
      </c>
      <c r="E8" s="12">
        <f t="shared" si="1"/>
        <v>6.9903950000000004</v>
      </c>
    </row>
    <row r="9" spans="1:6" x14ac:dyDescent="0.3">
      <c r="A9" s="1">
        <v>5.8</v>
      </c>
      <c r="B9" s="1">
        <f t="shared" si="0"/>
        <v>8.1088582000000002</v>
      </c>
      <c r="D9" s="2">
        <f t="shared" si="2"/>
        <v>8.1088582000000002</v>
      </c>
      <c r="E9" s="12">
        <f t="shared" si="1"/>
        <v>8.1088582000000002</v>
      </c>
    </row>
    <row r="10" spans="1:6" x14ac:dyDescent="0.3">
      <c r="A10" s="1">
        <v>9</v>
      </c>
      <c r="B10" s="1">
        <f t="shared" si="0"/>
        <v>12.582711</v>
      </c>
      <c r="D10" s="2">
        <f t="shared" si="2"/>
        <v>12.582711</v>
      </c>
      <c r="E10" s="12">
        <f t="shared" si="1"/>
        <v>12.582711</v>
      </c>
    </row>
    <row r="11" spans="1:6" x14ac:dyDescent="0.3">
      <c r="A11" s="1">
        <v>10.5</v>
      </c>
      <c r="B11" s="1">
        <f t="shared" si="0"/>
        <v>14.6798295</v>
      </c>
      <c r="D11" s="2">
        <f t="shared" si="2"/>
        <v>14.6798295</v>
      </c>
      <c r="E11" s="12">
        <f t="shared" si="1"/>
        <v>14.6798295</v>
      </c>
    </row>
    <row r="12" spans="1:6" x14ac:dyDescent="0.3">
      <c r="A12" s="1">
        <v>12.22</v>
      </c>
      <c r="B12" s="1">
        <f t="shared" si="0"/>
        <v>17.084525380000002</v>
      </c>
      <c r="D12" s="2">
        <f t="shared" si="2"/>
        <v>17.084525380000002</v>
      </c>
      <c r="E12" s="12">
        <f t="shared" si="1"/>
        <v>17.084525380000002</v>
      </c>
    </row>
    <row r="13" spans="1:6" x14ac:dyDescent="0.3">
      <c r="A13" s="1">
        <v>12.65</v>
      </c>
      <c r="B13" s="1">
        <f t="shared" si="0"/>
        <v>17.68569935</v>
      </c>
      <c r="D13" s="2">
        <f t="shared" si="2"/>
        <v>17.68569935</v>
      </c>
      <c r="E13" s="12">
        <f t="shared" si="1"/>
        <v>17.68569935</v>
      </c>
    </row>
    <row r="14" spans="1:6" x14ac:dyDescent="0.3">
      <c r="A14" s="1">
        <v>13.39</v>
      </c>
      <c r="B14" s="1">
        <f t="shared" si="0"/>
        <v>18.720277810000002</v>
      </c>
      <c r="D14" s="2">
        <f t="shared" si="2"/>
        <v>18.720277810000002</v>
      </c>
      <c r="E14" s="12">
        <f t="shared" si="1"/>
        <v>18.720277810000002</v>
      </c>
    </row>
    <row r="15" spans="1:6" x14ac:dyDescent="0.3">
      <c r="A15" s="1">
        <v>13.75</v>
      </c>
      <c r="B15" s="1">
        <f t="shared" si="0"/>
        <v>19.22358625</v>
      </c>
      <c r="D15" s="2">
        <f t="shared" si="2"/>
        <v>19.22358625</v>
      </c>
      <c r="E15" s="12">
        <f t="shared" si="1"/>
        <v>19.22358625</v>
      </c>
    </row>
    <row r="16" spans="1:6" x14ac:dyDescent="0.3">
      <c r="A16" s="1">
        <v>14.46</v>
      </c>
      <c r="B16" s="1">
        <f t="shared" si="0"/>
        <v>20.216222340000002</v>
      </c>
      <c r="D16" s="2">
        <f t="shared" si="2"/>
        <v>20.216222340000002</v>
      </c>
      <c r="E16" s="12">
        <f t="shared" si="1"/>
        <v>20.216222340000002</v>
      </c>
    </row>
    <row r="17" spans="1:5" x14ac:dyDescent="0.3">
      <c r="A17" s="1">
        <v>15.2</v>
      </c>
      <c r="B17" s="1">
        <f t="shared" si="0"/>
        <v>21.2508008</v>
      </c>
      <c r="D17" s="2">
        <f t="shared" si="2"/>
        <v>21.2508008</v>
      </c>
      <c r="E17" s="12">
        <f t="shared" si="1"/>
        <v>21.2508008</v>
      </c>
    </row>
    <row r="18" spans="1:5" x14ac:dyDescent="0.3">
      <c r="A18" s="1">
        <v>15.5</v>
      </c>
      <c r="B18" s="1">
        <f t="shared" si="0"/>
        <v>21.6702245</v>
      </c>
      <c r="D18" s="2">
        <f t="shared" si="2"/>
        <v>21.6702245</v>
      </c>
      <c r="E18" s="12">
        <f t="shared" si="1"/>
        <v>21.6702245</v>
      </c>
    </row>
    <row r="19" spans="1:5" x14ac:dyDescent="0.3">
      <c r="A19" s="1">
        <v>17</v>
      </c>
      <c r="B19" s="1">
        <f t="shared" si="0"/>
        <v>23.767343</v>
      </c>
      <c r="D19" s="2">
        <f t="shared" si="2"/>
        <v>23.767343</v>
      </c>
      <c r="E19" s="12">
        <f t="shared" si="1"/>
        <v>23.767343</v>
      </c>
    </row>
    <row r="20" spans="1:5" x14ac:dyDescent="0.3">
      <c r="A20" s="1">
        <v>18.5</v>
      </c>
      <c r="B20" s="1">
        <f t="shared" si="0"/>
        <v>25.864461500000001</v>
      </c>
      <c r="D20" s="2">
        <f t="shared" si="2"/>
        <v>25.864461500000001</v>
      </c>
      <c r="E20" s="12">
        <f t="shared" si="1"/>
        <v>25.864461500000001</v>
      </c>
    </row>
    <row r="21" spans="1:5" x14ac:dyDescent="0.3">
      <c r="A21" s="1">
        <v>19</v>
      </c>
      <c r="B21" s="1">
        <f t="shared" si="0"/>
        <v>26.563501000000002</v>
      </c>
      <c r="D21" s="2">
        <f t="shared" si="2"/>
        <v>26.563501000000002</v>
      </c>
      <c r="E21" s="12">
        <f t="shared" si="1"/>
        <v>26.563501000000002</v>
      </c>
    </row>
    <row r="22" spans="1:5" x14ac:dyDescent="0.3">
      <c r="A22" s="1">
        <v>21</v>
      </c>
      <c r="B22" s="1">
        <f t="shared" si="0"/>
        <v>29.359659000000001</v>
      </c>
      <c r="D22" s="2">
        <f t="shared" si="2"/>
        <v>29.359659000000001</v>
      </c>
      <c r="E22" s="12">
        <f t="shared" si="1"/>
        <v>29.359659000000001</v>
      </c>
    </row>
    <row r="23" spans="1:5" x14ac:dyDescent="0.3">
      <c r="A23" s="1">
        <v>23</v>
      </c>
      <c r="B23" s="1">
        <f t="shared" si="0"/>
        <v>32.155816999999999</v>
      </c>
      <c r="D23" s="2">
        <f t="shared" si="2"/>
        <v>32.155816999999999</v>
      </c>
      <c r="E23" s="12">
        <f t="shared" si="1"/>
        <v>32.155816999999999</v>
      </c>
    </row>
    <row r="24" spans="1:5" x14ac:dyDescent="0.3">
      <c r="A24" s="1">
        <v>24.97</v>
      </c>
      <c r="B24" s="1">
        <f t="shared" si="0"/>
        <v>34.910032630000003</v>
      </c>
      <c r="D24" s="2">
        <f t="shared" si="2"/>
        <v>34.910032630000003</v>
      </c>
      <c r="E24" s="12">
        <f t="shared" si="1"/>
        <v>34.910032630000003</v>
      </c>
    </row>
    <row r="25" spans="1:5" x14ac:dyDescent="0.3">
      <c r="A25" s="1">
        <v>28</v>
      </c>
      <c r="B25" s="1">
        <f t="shared" si="0"/>
        <v>39.146212000000006</v>
      </c>
      <c r="D25" s="2">
        <f t="shared" si="2"/>
        <v>39.146212000000006</v>
      </c>
      <c r="E25" s="12">
        <f t="shared" si="1"/>
        <v>39.146212000000006</v>
      </c>
    </row>
    <row r="26" spans="1:5" x14ac:dyDescent="0.3">
      <c r="A26" s="1">
        <v>30</v>
      </c>
      <c r="B26" s="1">
        <f t="shared" si="0"/>
        <v>41.942370000000004</v>
      </c>
      <c r="D26" s="2">
        <f t="shared" si="2"/>
        <v>41.942370000000004</v>
      </c>
      <c r="E26" s="12">
        <f t="shared" si="1"/>
        <v>41.942370000000004</v>
      </c>
    </row>
    <row r="27" spans="1:5" x14ac:dyDescent="0.3">
      <c r="A27" s="1">
        <v>33.29</v>
      </c>
      <c r="B27" s="1">
        <f t="shared" si="0"/>
        <v>46.542049910000003</v>
      </c>
      <c r="D27" s="2">
        <f t="shared" si="2"/>
        <v>46.542049910000003</v>
      </c>
      <c r="E27" s="12">
        <f t="shared" si="1"/>
        <v>46.542049910000003</v>
      </c>
    </row>
    <row r="28" spans="1:5" x14ac:dyDescent="0.3">
      <c r="A28" s="1">
        <v>42</v>
      </c>
      <c r="B28" s="1">
        <f t="shared" si="0"/>
        <v>58.719318000000001</v>
      </c>
      <c r="D28" s="2">
        <f t="shared" si="2"/>
        <v>58.719318000000001</v>
      </c>
      <c r="E28" s="12">
        <f t="shared" si="1"/>
        <v>58.719318000000001</v>
      </c>
    </row>
    <row r="29" spans="1:5" x14ac:dyDescent="0.3">
      <c r="A29" s="1">
        <v>61.26</v>
      </c>
      <c r="B29" s="1">
        <f t="shared" si="0"/>
        <v>85.646319540000007</v>
      </c>
      <c r="D29" s="2">
        <f t="shared" si="2"/>
        <v>85.646319540000007</v>
      </c>
      <c r="E29" s="12">
        <f t="shared" si="1"/>
        <v>85.646319540000007</v>
      </c>
    </row>
    <row r="30" spans="1:5" x14ac:dyDescent="0.3">
      <c r="A30" s="1">
        <v>62</v>
      </c>
      <c r="B30" s="1">
        <f t="shared" si="0"/>
        <v>86.680897999999999</v>
      </c>
      <c r="D30" s="2">
        <f t="shared" si="2"/>
        <v>86.680897999999999</v>
      </c>
      <c r="E30" s="12">
        <f t="shared" si="1"/>
        <v>86.680897999999999</v>
      </c>
    </row>
    <row r="31" spans="1:5" x14ac:dyDescent="0.3">
      <c r="A31" s="1">
        <v>68.319999999999993</v>
      </c>
      <c r="B31" s="1">
        <f t="shared" si="0"/>
        <v>95.516757279999993</v>
      </c>
      <c r="D31" s="2">
        <f t="shared" si="2"/>
        <v>95.516757279999993</v>
      </c>
      <c r="E31" s="12">
        <f t="shared" si="1"/>
        <v>95.516757279999993</v>
      </c>
    </row>
    <row r="32" spans="1:5" x14ac:dyDescent="0.3">
      <c r="A32" s="1">
        <v>75.13</v>
      </c>
      <c r="B32" s="1">
        <f t="shared" si="0"/>
        <v>105.03767526999999</v>
      </c>
      <c r="D32" s="2">
        <f t="shared" si="2"/>
        <v>105.03767526999999</v>
      </c>
      <c r="E32" s="12">
        <f t="shared" si="1"/>
        <v>105.03767526999999</v>
      </c>
    </row>
    <row r="33" spans="1:5" x14ac:dyDescent="0.3">
      <c r="A33" s="1">
        <v>80.38</v>
      </c>
      <c r="B33" s="1">
        <f t="shared" si="0"/>
        <v>112.37759002</v>
      </c>
      <c r="D33" s="2">
        <f t="shared" si="2"/>
        <v>112.37759002</v>
      </c>
      <c r="E33" s="12">
        <f t="shared" si="1"/>
        <v>112.37759002</v>
      </c>
    </row>
    <row r="34" spans="1:5" x14ac:dyDescent="0.3">
      <c r="A34" s="1">
        <v>136.63999999999999</v>
      </c>
      <c r="B34" s="1">
        <f t="shared" si="0"/>
        <v>191.03351455999999</v>
      </c>
      <c r="D34" s="2">
        <f>B34</f>
        <v>191.03351455999999</v>
      </c>
      <c r="E34" s="12">
        <f t="shared" si="1"/>
        <v>191.03351455999999</v>
      </c>
    </row>
    <row r="35" spans="1:5" x14ac:dyDescent="0.3">
      <c r="A35" s="1">
        <v>143.99</v>
      </c>
      <c r="B35" s="1">
        <f t="shared" si="0"/>
        <v>201.30939521000002</v>
      </c>
      <c r="D35" s="2">
        <f t="shared" ref="D35:D58" si="3">B35</f>
        <v>201.30939521000002</v>
      </c>
      <c r="E35" s="12">
        <f t="shared" si="1"/>
        <v>201.30939521000002</v>
      </c>
    </row>
    <row r="36" spans="1:5" x14ac:dyDescent="0.3">
      <c r="A36" s="1">
        <v>150.61000000000001</v>
      </c>
      <c r="B36" s="1">
        <f t="shared" si="0"/>
        <v>210.56467819000002</v>
      </c>
      <c r="D36" s="2">
        <f t="shared" si="3"/>
        <v>210.56467819000002</v>
      </c>
      <c r="E36" s="12">
        <f t="shared" si="1"/>
        <v>210.56467819000002</v>
      </c>
    </row>
    <row r="37" spans="1:5" x14ac:dyDescent="0.3">
      <c r="A37" s="1">
        <v>164</v>
      </c>
      <c r="B37" s="1">
        <f t="shared" si="0"/>
        <v>229.28495600000002</v>
      </c>
      <c r="D37" s="2">
        <f t="shared" si="3"/>
        <v>229.28495600000002</v>
      </c>
      <c r="E37" s="12">
        <f t="shared" si="1"/>
        <v>229.28495600000002</v>
      </c>
    </row>
    <row r="38" spans="1:5" x14ac:dyDescent="0.3">
      <c r="A38" s="1">
        <v>170</v>
      </c>
      <c r="B38" s="1">
        <f t="shared" si="0"/>
        <v>237.67343000000002</v>
      </c>
      <c r="D38" s="2">
        <f t="shared" si="3"/>
        <v>237.67343000000002</v>
      </c>
      <c r="E38" s="12">
        <f t="shared" si="1"/>
        <v>237.67343000000002</v>
      </c>
    </row>
    <row r="39" spans="1:5" x14ac:dyDescent="0.3">
      <c r="A39" s="1">
        <v>190</v>
      </c>
      <c r="B39" s="1">
        <f t="shared" si="0"/>
        <v>265.63501000000002</v>
      </c>
      <c r="D39" s="2">
        <f t="shared" si="3"/>
        <v>265.63501000000002</v>
      </c>
      <c r="E39" s="12">
        <f t="shared" ref="E39:E53" si="4">IF(D39&lt;1000,D39,ROUND(D39,-2))</f>
        <v>265.63501000000002</v>
      </c>
    </row>
    <row r="40" spans="1:5" x14ac:dyDescent="0.3">
      <c r="A40" s="1">
        <v>195</v>
      </c>
      <c r="B40" s="1">
        <f t="shared" si="0"/>
        <v>272.625405</v>
      </c>
      <c r="D40" s="2">
        <f t="shared" si="3"/>
        <v>272.625405</v>
      </c>
      <c r="E40" s="12">
        <f t="shared" si="4"/>
        <v>272.625405</v>
      </c>
    </row>
    <row r="41" spans="1:5" x14ac:dyDescent="0.3">
      <c r="A41" s="1">
        <v>202</v>
      </c>
      <c r="B41" s="1">
        <f t="shared" si="0"/>
        <v>282.41195800000003</v>
      </c>
      <c r="D41" s="2">
        <f t="shared" si="3"/>
        <v>282.41195800000003</v>
      </c>
      <c r="E41" s="12">
        <f t="shared" si="4"/>
        <v>282.41195800000003</v>
      </c>
    </row>
    <row r="42" spans="1:5" x14ac:dyDescent="0.3">
      <c r="A42" s="1">
        <v>260</v>
      </c>
      <c r="B42" s="1">
        <f t="shared" si="0"/>
        <v>363.50054</v>
      </c>
      <c r="D42" s="2">
        <f t="shared" si="3"/>
        <v>363.50054</v>
      </c>
      <c r="E42" s="12">
        <f t="shared" si="4"/>
        <v>363.50054</v>
      </c>
    </row>
    <row r="43" spans="1:5" x14ac:dyDescent="0.3">
      <c r="A43" s="1">
        <v>278</v>
      </c>
      <c r="B43" s="1">
        <f t="shared" si="0"/>
        <v>388.66596200000004</v>
      </c>
      <c r="D43" s="2">
        <f t="shared" si="3"/>
        <v>388.66596200000004</v>
      </c>
      <c r="E43" s="12">
        <f t="shared" si="4"/>
        <v>388.66596200000004</v>
      </c>
    </row>
    <row r="44" spans="1:5" x14ac:dyDescent="0.3">
      <c r="A44" s="1">
        <v>300.83999999999997</v>
      </c>
      <c r="B44" s="1">
        <f t="shared" si="0"/>
        <v>420.59808635999997</v>
      </c>
      <c r="D44" s="2">
        <f t="shared" si="3"/>
        <v>420.59808635999997</v>
      </c>
      <c r="E44" s="12">
        <f t="shared" si="4"/>
        <v>420.59808635999997</v>
      </c>
    </row>
    <row r="45" spans="1:5" x14ac:dyDescent="0.3">
      <c r="A45" s="1">
        <v>350</v>
      </c>
      <c r="B45" s="1">
        <f t="shared" si="0"/>
        <v>489.32765000000001</v>
      </c>
      <c r="D45" s="2">
        <f t="shared" si="3"/>
        <v>489.32765000000001</v>
      </c>
      <c r="E45" s="12">
        <f t="shared" si="4"/>
        <v>489.32765000000001</v>
      </c>
    </row>
    <row r="46" spans="1:5" x14ac:dyDescent="0.3">
      <c r="A46" s="1">
        <v>380</v>
      </c>
      <c r="B46" s="1">
        <f t="shared" si="0"/>
        <v>531.27002000000005</v>
      </c>
      <c r="D46" s="2">
        <f t="shared" si="3"/>
        <v>531.27002000000005</v>
      </c>
      <c r="E46" s="12">
        <f t="shared" si="4"/>
        <v>531.27002000000005</v>
      </c>
    </row>
    <row r="47" spans="1:5" x14ac:dyDescent="0.3">
      <c r="A47" s="1">
        <v>398.95</v>
      </c>
      <c r="B47" s="1">
        <f t="shared" si="0"/>
        <v>557.76361704999999</v>
      </c>
      <c r="D47" s="2">
        <f t="shared" si="3"/>
        <v>557.76361704999999</v>
      </c>
      <c r="E47" s="12">
        <f t="shared" si="4"/>
        <v>557.76361704999999</v>
      </c>
    </row>
    <row r="48" spans="1:5" x14ac:dyDescent="0.3">
      <c r="A48" s="1">
        <v>420</v>
      </c>
      <c r="B48" s="1">
        <f t="shared" si="0"/>
        <v>587.19317999999998</v>
      </c>
      <c r="D48" s="2">
        <f t="shared" si="3"/>
        <v>587.19317999999998</v>
      </c>
      <c r="E48" s="12">
        <f t="shared" si="4"/>
        <v>587.19317999999998</v>
      </c>
    </row>
    <row r="49" spans="1:6" x14ac:dyDescent="0.3">
      <c r="A49" s="1">
        <v>465</v>
      </c>
      <c r="B49" s="1">
        <f t="shared" si="0"/>
        <v>650.10673500000007</v>
      </c>
      <c r="D49" s="2">
        <f t="shared" si="3"/>
        <v>650.10673500000007</v>
      </c>
      <c r="E49" s="12">
        <f t="shared" si="4"/>
        <v>650.10673500000007</v>
      </c>
    </row>
    <row r="50" spans="1:6" x14ac:dyDescent="0.3">
      <c r="A50" s="1">
        <v>490</v>
      </c>
      <c r="B50" s="1">
        <f t="shared" si="0"/>
        <v>685.05871000000002</v>
      </c>
      <c r="D50" s="2">
        <f t="shared" si="3"/>
        <v>685.05871000000002</v>
      </c>
      <c r="E50" s="12">
        <f t="shared" si="4"/>
        <v>685.05871000000002</v>
      </c>
    </row>
    <row r="51" spans="1:6" x14ac:dyDescent="0.3">
      <c r="A51" s="1">
        <v>502</v>
      </c>
      <c r="B51" s="1">
        <f t="shared" si="0"/>
        <v>701.83565800000008</v>
      </c>
      <c r="D51" s="2">
        <f t="shared" si="3"/>
        <v>701.83565800000008</v>
      </c>
      <c r="E51" s="12">
        <f t="shared" si="4"/>
        <v>701.83565800000008</v>
      </c>
    </row>
    <row r="52" spans="1:6" x14ac:dyDescent="0.3">
      <c r="A52" s="1">
        <v>559</v>
      </c>
      <c r="B52" s="1">
        <f t="shared" si="0"/>
        <v>781.526161</v>
      </c>
      <c r="D52" s="2">
        <f t="shared" si="3"/>
        <v>781.526161</v>
      </c>
      <c r="E52" s="12">
        <f t="shared" si="4"/>
        <v>781.526161</v>
      </c>
    </row>
    <row r="53" spans="1:6" x14ac:dyDescent="0.3">
      <c r="A53" s="1">
        <v>597</v>
      </c>
      <c r="B53" s="1">
        <f t="shared" si="0"/>
        <v>834.65316300000006</v>
      </c>
      <c r="D53" s="2">
        <f t="shared" si="3"/>
        <v>834.65316300000006</v>
      </c>
      <c r="E53" s="12">
        <f t="shared" si="4"/>
        <v>834.65316300000006</v>
      </c>
    </row>
    <row r="54" spans="1:6" x14ac:dyDescent="0.3">
      <c r="A54" s="1">
        <v>700</v>
      </c>
      <c r="B54" s="1">
        <f t="shared" si="0"/>
        <v>978.65530000000001</v>
      </c>
      <c r="C54" s="2">
        <f t="shared" ref="C54:C117" si="5">VALUE(B54)/12</f>
        <v>81.554608333333334</v>
      </c>
      <c r="D54" s="2">
        <f t="shared" si="3"/>
        <v>978.65530000000001</v>
      </c>
      <c r="E54" s="12">
        <f>IF(D54&lt;1000,D54,ROUND(D54,-2))</f>
        <v>978.65530000000001</v>
      </c>
      <c r="F54" s="3">
        <f t="shared" ref="F54:F66" si="6">E54-D54</f>
        <v>0</v>
      </c>
    </row>
    <row r="55" spans="1:6" x14ac:dyDescent="0.3">
      <c r="A55" s="1">
        <v>750</v>
      </c>
      <c r="B55" s="1">
        <f t="shared" si="0"/>
        <v>1048.55925</v>
      </c>
      <c r="C55" s="2">
        <f t="shared" si="5"/>
        <v>87.379937499999997</v>
      </c>
      <c r="D55" s="2">
        <f t="shared" si="3"/>
        <v>1048.55925</v>
      </c>
      <c r="E55" s="12">
        <f>IF(D55&lt;1000,D55,ROUND(D55,-2))</f>
        <v>1000</v>
      </c>
      <c r="F55" s="3">
        <f t="shared" si="6"/>
        <v>-48.55925000000002</v>
      </c>
    </row>
    <row r="56" spans="1:6" x14ac:dyDescent="0.3">
      <c r="A56" s="1">
        <v>800</v>
      </c>
      <c r="B56" s="1">
        <f t="shared" si="0"/>
        <v>1118.4632000000001</v>
      </c>
      <c r="C56" s="2">
        <f t="shared" si="5"/>
        <v>93.205266666666674</v>
      </c>
      <c r="D56" s="2">
        <f t="shared" si="3"/>
        <v>1118.4632000000001</v>
      </c>
      <c r="E56" s="12">
        <f t="shared" ref="E56:E119" si="7">IF(D56&lt;1000,D56,ROUND(D56,-2))</f>
        <v>1100</v>
      </c>
      <c r="F56" s="3">
        <f t="shared" si="6"/>
        <v>-18.463200000000143</v>
      </c>
    </row>
    <row r="57" spans="1:6" x14ac:dyDescent="0.3">
      <c r="A57" s="1">
        <v>842.75</v>
      </c>
      <c r="B57" s="1">
        <f t="shared" si="0"/>
        <v>1178.23107725</v>
      </c>
      <c r="C57" s="2">
        <f t="shared" si="5"/>
        <v>98.185923104166662</v>
      </c>
      <c r="D57" s="2">
        <f t="shared" si="3"/>
        <v>1178.23107725</v>
      </c>
      <c r="E57" s="12">
        <f t="shared" si="7"/>
        <v>1200</v>
      </c>
      <c r="F57" s="3">
        <f t="shared" si="6"/>
        <v>21.768922750000002</v>
      </c>
    </row>
    <row r="58" spans="1:6" x14ac:dyDescent="0.3">
      <c r="A58" s="1">
        <v>868</v>
      </c>
      <c r="B58" s="1">
        <f t="shared" si="0"/>
        <v>1213.5325720000001</v>
      </c>
      <c r="C58" s="2">
        <f t="shared" si="5"/>
        <v>101.12771433333334</v>
      </c>
      <c r="D58" s="2">
        <f t="shared" si="3"/>
        <v>1213.5325720000001</v>
      </c>
      <c r="E58" s="12">
        <f t="shared" si="7"/>
        <v>1200</v>
      </c>
      <c r="F58" s="3">
        <f t="shared" si="6"/>
        <v>-13.532572000000073</v>
      </c>
    </row>
    <row r="59" spans="1:6" x14ac:dyDescent="0.3">
      <c r="A59" s="1">
        <v>917.14</v>
      </c>
      <c r="B59" s="1">
        <f t="shared" si="0"/>
        <v>1282.23417406</v>
      </c>
      <c r="C59" s="2">
        <f t="shared" si="5"/>
        <v>106.85284783833333</v>
      </c>
      <c r="D59" s="2">
        <f t="shared" ref="D59:D66" si="8">B59</f>
        <v>1282.23417406</v>
      </c>
      <c r="E59" s="12">
        <f t="shared" si="7"/>
        <v>1300</v>
      </c>
      <c r="F59" s="3">
        <f t="shared" si="6"/>
        <v>17.765825940000013</v>
      </c>
    </row>
    <row r="60" spans="1:6" x14ac:dyDescent="0.3">
      <c r="A60" s="1">
        <v>920</v>
      </c>
      <c r="B60" s="1">
        <f t="shared" si="0"/>
        <v>1286.2326800000001</v>
      </c>
      <c r="C60" s="2">
        <f t="shared" si="5"/>
        <v>107.18605666666667</v>
      </c>
      <c r="D60" s="2">
        <f t="shared" si="8"/>
        <v>1286.2326800000001</v>
      </c>
      <c r="E60" s="12">
        <f t="shared" si="7"/>
        <v>1300</v>
      </c>
      <c r="F60" s="3">
        <f t="shared" si="6"/>
        <v>13.767319999999927</v>
      </c>
    </row>
    <row r="61" spans="1:6" x14ac:dyDescent="0.3">
      <c r="A61" s="1">
        <v>925</v>
      </c>
      <c r="B61" s="1">
        <f t="shared" si="0"/>
        <v>1293.2230750000001</v>
      </c>
      <c r="C61" s="2">
        <f t="shared" si="5"/>
        <v>107.76858958333334</v>
      </c>
      <c r="D61" s="2">
        <f t="shared" si="8"/>
        <v>1293.2230750000001</v>
      </c>
      <c r="E61" s="12">
        <f t="shared" si="7"/>
        <v>1300</v>
      </c>
      <c r="F61" s="3">
        <f t="shared" si="6"/>
        <v>6.776924999999892</v>
      </c>
    </row>
    <row r="62" spans="1:6" x14ac:dyDescent="0.3">
      <c r="A62" s="1">
        <v>950</v>
      </c>
      <c r="B62" s="1">
        <f>IF(A62&lt;1000,$B$1*A62,ROUND($B$1*A62,0))</f>
        <v>1328.1750500000001</v>
      </c>
      <c r="C62" s="2">
        <f t="shared" si="5"/>
        <v>110.68125416666668</v>
      </c>
      <c r="D62" s="2">
        <f t="shared" si="8"/>
        <v>1328.1750500000001</v>
      </c>
      <c r="E62" s="12">
        <f t="shared" si="7"/>
        <v>1300</v>
      </c>
      <c r="F62" s="3">
        <f t="shared" si="6"/>
        <v>-28.175050000000056</v>
      </c>
    </row>
    <row r="63" spans="1:6" x14ac:dyDescent="0.3">
      <c r="A63" s="1">
        <v>1000</v>
      </c>
      <c r="B63" s="1">
        <f>IF(A63&lt;1000,$B$1*A63,ROUND($B$1*A63,0))</f>
        <v>1398</v>
      </c>
      <c r="C63" s="2">
        <f t="shared" si="5"/>
        <v>116.5</v>
      </c>
      <c r="D63" s="2">
        <f t="shared" si="8"/>
        <v>1398</v>
      </c>
      <c r="E63" s="12">
        <f t="shared" si="7"/>
        <v>1400</v>
      </c>
      <c r="F63" s="3">
        <f t="shared" si="6"/>
        <v>2</v>
      </c>
    </row>
    <row r="64" spans="1:6" x14ac:dyDescent="0.3">
      <c r="A64" s="1">
        <v>1050</v>
      </c>
      <c r="B64" s="1">
        <f>IF(A64&lt;1000,$B$1*A64,ROUND($B$1*A64,0))</f>
        <v>1468</v>
      </c>
      <c r="C64" s="2">
        <f t="shared" si="5"/>
        <v>122.33333333333333</v>
      </c>
      <c r="D64" s="2">
        <f t="shared" si="8"/>
        <v>1468</v>
      </c>
      <c r="E64" s="12">
        <f t="shared" si="7"/>
        <v>1500</v>
      </c>
      <c r="F64" s="3">
        <f t="shared" si="6"/>
        <v>32</v>
      </c>
    </row>
    <row r="65" spans="1:6" x14ac:dyDescent="0.3">
      <c r="A65" s="1">
        <v>1100</v>
      </c>
      <c r="B65" s="1">
        <f t="shared" ref="B65:B128" si="9">IF(A65&lt;1000,$B$1*A65,ROUND($B$1*A65,0))</f>
        <v>1538</v>
      </c>
      <c r="C65" s="2">
        <f t="shared" si="5"/>
        <v>128.16666666666666</v>
      </c>
      <c r="D65" s="2">
        <f t="shared" si="8"/>
        <v>1538</v>
      </c>
      <c r="E65" s="12">
        <f t="shared" si="7"/>
        <v>1500</v>
      </c>
      <c r="F65" s="3">
        <f t="shared" si="6"/>
        <v>-38</v>
      </c>
    </row>
    <row r="66" spans="1:6" x14ac:dyDescent="0.3">
      <c r="A66" s="1">
        <v>1200</v>
      </c>
      <c r="B66" s="1">
        <f t="shared" si="9"/>
        <v>1678</v>
      </c>
      <c r="C66" s="2">
        <f t="shared" si="5"/>
        <v>139.83333333333334</v>
      </c>
      <c r="D66" s="2">
        <f t="shared" si="8"/>
        <v>1678</v>
      </c>
      <c r="E66" s="12">
        <f t="shared" si="7"/>
        <v>1700</v>
      </c>
      <c r="F66" s="3">
        <f t="shared" si="6"/>
        <v>22</v>
      </c>
    </row>
    <row r="67" spans="1:6" x14ac:dyDescent="0.3">
      <c r="A67" s="1">
        <v>1245</v>
      </c>
      <c r="B67" s="1">
        <f t="shared" si="9"/>
        <v>1741</v>
      </c>
      <c r="C67" s="2">
        <f t="shared" si="5"/>
        <v>145.08333333333334</v>
      </c>
      <c r="D67" s="2">
        <f t="shared" ref="D67:D122" si="10">B67</f>
        <v>1741</v>
      </c>
      <c r="E67" s="12">
        <f t="shared" si="7"/>
        <v>1700</v>
      </c>
      <c r="F67" s="3">
        <f t="shared" ref="F67:F122" si="11">E67-D67</f>
        <v>-41</v>
      </c>
    </row>
    <row r="68" spans="1:6" x14ac:dyDescent="0.3">
      <c r="A68" s="1">
        <v>1300</v>
      </c>
      <c r="B68" s="1">
        <f t="shared" si="9"/>
        <v>1818</v>
      </c>
      <c r="C68" s="2">
        <f t="shared" si="5"/>
        <v>151.5</v>
      </c>
      <c r="D68" s="2">
        <f t="shared" si="10"/>
        <v>1818</v>
      </c>
      <c r="E68" s="12">
        <f t="shared" si="7"/>
        <v>1800</v>
      </c>
      <c r="F68" s="3">
        <f t="shared" si="11"/>
        <v>-18</v>
      </c>
    </row>
    <row r="69" spans="1:6" x14ac:dyDescent="0.3">
      <c r="A69" s="1">
        <v>1327</v>
      </c>
      <c r="B69" s="1">
        <f t="shared" si="9"/>
        <v>1855</v>
      </c>
      <c r="C69" s="2">
        <f t="shared" si="5"/>
        <v>154.58333333333334</v>
      </c>
      <c r="D69" s="2">
        <f t="shared" si="10"/>
        <v>1855</v>
      </c>
      <c r="E69" s="12">
        <f t="shared" si="7"/>
        <v>1900</v>
      </c>
      <c r="F69" s="3">
        <f t="shared" si="11"/>
        <v>45</v>
      </c>
    </row>
    <row r="70" spans="1:6" x14ac:dyDescent="0.3">
      <c r="A70" s="1">
        <v>1400</v>
      </c>
      <c r="B70" s="1">
        <f t="shared" si="9"/>
        <v>1957</v>
      </c>
      <c r="C70" s="2">
        <f t="shared" si="5"/>
        <v>163.08333333333334</v>
      </c>
      <c r="D70" s="2">
        <f t="shared" si="10"/>
        <v>1957</v>
      </c>
      <c r="E70" s="12">
        <f t="shared" si="7"/>
        <v>2000</v>
      </c>
      <c r="F70" s="3">
        <f t="shared" si="11"/>
        <v>43</v>
      </c>
    </row>
    <row r="71" spans="1:6" x14ac:dyDescent="0.3">
      <c r="A71" s="1">
        <v>1500</v>
      </c>
      <c r="B71" s="1">
        <f t="shared" si="9"/>
        <v>2097</v>
      </c>
      <c r="C71" s="2">
        <f t="shared" si="5"/>
        <v>174.75</v>
      </c>
      <c r="D71" s="2">
        <f t="shared" si="10"/>
        <v>2097</v>
      </c>
      <c r="E71" s="12">
        <f t="shared" si="7"/>
        <v>2100</v>
      </c>
      <c r="F71" s="3">
        <f t="shared" si="11"/>
        <v>3</v>
      </c>
    </row>
    <row r="72" spans="1:6" x14ac:dyDescent="0.3">
      <c r="A72" s="1">
        <v>1600</v>
      </c>
      <c r="B72" s="1">
        <f t="shared" si="9"/>
        <v>2237</v>
      </c>
      <c r="C72" s="2">
        <f t="shared" si="5"/>
        <v>186.41666666666666</v>
      </c>
      <c r="D72" s="2">
        <f t="shared" si="10"/>
        <v>2237</v>
      </c>
      <c r="E72" s="12">
        <f t="shared" si="7"/>
        <v>2200</v>
      </c>
      <c r="F72" s="3">
        <f t="shared" si="11"/>
        <v>-37</v>
      </c>
    </row>
    <row r="73" spans="1:6" x14ac:dyDescent="0.3">
      <c r="A73" s="1">
        <v>1700</v>
      </c>
      <c r="B73" s="1">
        <f t="shared" si="9"/>
        <v>2377</v>
      </c>
      <c r="C73" s="2">
        <f t="shared" si="5"/>
        <v>198.08333333333334</v>
      </c>
      <c r="D73" s="2">
        <f t="shared" si="10"/>
        <v>2377</v>
      </c>
      <c r="E73" s="12">
        <f t="shared" si="7"/>
        <v>2400</v>
      </c>
      <c r="F73" s="3">
        <f t="shared" si="11"/>
        <v>23</v>
      </c>
    </row>
    <row r="74" spans="1:6" x14ac:dyDescent="0.3">
      <c r="A74" s="1">
        <v>1750</v>
      </c>
      <c r="B74" s="1">
        <f t="shared" si="9"/>
        <v>2447</v>
      </c>
      <c r="C74" s="2">
        <f t="shared" si="5"/>
        <v>203.91666666666666</v>
      </c>
      <c r="D74" s="2">
        <f t="shared" si="10"/>
        <v>2447</v>
      </c>
      <c r="E74" s="12">
        <f t="shared" si="7"/>
        <v>2400</v>
      </c>
      <c r="F74" s="3">
        <f t="shared" si="11"/>
        <v>-47</v>
      </c>
    </row>
    <row r="75" spans="1:6" x14ac:dyDescent="0.3">
      <c r="A75" s="1">
        <v>1800</v>
      </c>
      <c r="B75" s="1">
        <f t="shared" si="9"/>
        <v>2517</v>
      </c>
      <c r="C75" s="2">
        <f t="shared" si="5"/>
        <v>209.75</v>
      </c>
      <c r="D75" s="2">
        <f t="shared" si="10"/>
        <v>2517</v>
      </c>
      <c r="E75" s="12">
        <f t="shared" si="7"/>
        <v>2500</v>
      </c>
      <c r="F75" s="3">
        <f t="shared" si="11"/>
        <v>-17</v>
      </c>
    </row>
    <row r="76" spans="1:6" x14ac:dyDescent="0.3">
      <c r="A76" s="1">
        <v>1900</v>
      </c>
      <c r="B76" s="1">
        <f t="shared" si="9"/>
        <v>2656</v>
      </c>
      <c r="C76" s="2">
        <f t="shared" si="5"/>
        <v>221.33333333333334</v>
      </c>
      <c r="D76" s="2">
        <f t="shared" si="10"/>
        <v>2656</v>
      </c>
      <c r="E76" s="12">
        <f t="shared" si="7"/>
        <v>2700</v>
      </c>
      <c r="F76" s="3">
        <f t="shared" si="11"/>
        <v>44</v>
      </c>
    </row>
    <row r="77" spans="1:6" x14ac:dyDescent="0.3">
      <c r="A77" s="1">
        <v>2000</v>
      </c>
      <c r="B77" s="1">
        <f t="shared" si="9"/>
        <v>2796</v>
      </c>
      <c r="C77" s="2">
        <f t="shared" si="5"/>
        <v>233</v>
      </c>
      <c r="D77" s="2">
        <f t="shared" si="10"/>
        <v>2796</v>
      </c>
      <c r="E77" s="12">
        <f t="shared" si="7"/>
        <v>2800</v>
      </c>
      <c r="F77" s="3">
        <f t="shared" si="11"/>
        <v>4</v>
      </c>
    </row>
    <row r="78" spans="1:6" x14ac:dyDescent="0.3">
      <c r="A78" s="1">
        <v>2050</v>
      </c>
      <c r="B78" s="1">
        <f t="shared" si="9"/>
        <v>2866</v>
      </c>
      <c r="C78" s="2">
        <f t="shared" si="5"/>
        <v>238.83333333333334</v>
      </c>
      <c r="D78" s="2">
        <f t="shared" si="10"/>
        <v>2866</v>
      </c>
      <c r="E78" s="12">
        <f t="shared" si="7"/>
        <v>2900</v>
      </c>
      <c r="F78" s="3">
        <f t="shared" si="11"/>
        <v>34</v>
      </c>
    </row>
    <row r="79" spans="1:6" x14ac:dyDescent="0.3">
      <c r="A79" s="1">
        <v>2100</v>
      </c>
      <c r="B79" s="1">
        <f t="shared" si="9"/>
        <v>2936</v>
      </c>
      <c r="C79" s="2">
        <f t="shared" si="5"/>
        <v>244.66666666666666</v>
      </c>
      <c r="D79" s="2">
        <f t="shared" si="10"/>
        <v>2936</v>
      </c>
      <c r="E79" s="12">
        <f t="shared" si="7"/>
        <v>2900</v>
      </c>
      <c r="F79" s="3">
        <f t="shared" si="11"/>
        <v>-36</v>
      </c>
    </row>
    <row r="80" spans="1:6" x14ac:dyDescent="0.3">
      <c r="A80" s="1">
        <v>2145</v>
      </c>
      <c r="B80" s="1">
        <f t="shared" si="9"/>
        <v>2999</v>
      </c>
      <c r="C80" s="2">
        <f t="shared" si="5"/>
        <v>249.91666666666666</v>
      </c>
      <c r="D80" s="2">
        <f t="shared" si="10"/>
        <v>2999</v>
      </c>
      <c r="E80" s="12">
        <f t="shared" si="7"/>
        <v>3000</v>
      </c>
      <c r="F80" s="3">
        <f t="shared" si="11"/>
        <v>1</v>
      </c>
    </row>
    <row r="81" spans="1:6" x14ac:dyDescent="0.3">
      <c r="A81" s="1">
        <v>2150</v>
      </c>
      <c r="B81" s="1">
        <f t="shared" si="9"/>
        <v>3006</v>
      </c>
      <c r="C81" s="2">
        <f t="shared" si="5"/>
        <v>250.5</v>
      </c>
      <c r="D81" s="2">
        <f t="shared" si="10"/>
        <v>3006</v>
      </c>
      <c r="E81" s="12">
        <f t="shared" si="7"/>
        <v>3000</v>
      </c>
      <c r="F81" s="3">
        <f t="shared" si="11"/>
        <v>-6</v>
      </c>
    </row>
    <row r="82" spans="1:6" x14ac:dyDescent="0.3">
      <c r="A82" s="1">
        <v>2200</v>
      </c>
      <c r="B82" s="1">
        <f t="shared" si="9"/>
        <v>3076</v>
      </c>
      <c r="C82" s="2">
        <f t="shared" si="5"/>
        <v>256.33333333333331</v>
      </c>
      <c r="D82" s="2">
        <f t="shared" si="10"/>
        <v>3076</v>
      </c>
      <c r="E82" s="12">
        <f t="shared" si="7"/>
        <v>3100</v>
      </c>
      <c r="F82" s="3">
        <f t="shared" si="11"/>
        <v>24</v>
      </c>
    </row>
    <row r="83" spans="1:6" x14ac:dyDescent="0.3">
      <c r="A83" s="1">
        <v>2300</v>
      </c>
      <c r="B83" s="1">
        <f t="shared" si="9"/>
        <v>3216</v>
      </c>
      <c r="C83" s="2">
        <f t="shared" si="5"/>
        <v>268</v>
      </c>
      <c r="D83" s="2">
        <f t="shared" si="10"/>
        <v>3216</v>
      </c>
      <c r="E83" s="12">
        <f t="shared" si="7"/>
        <v>3200</v>
      </c>
      <c r="F83" s="3">
        <f t="shared" si="11"/>
        <v>-16</v>
      </c>
    </row>
    <row r="84" spans="1:6" x14ac:dyDescent="0.3">
      <c r="A84" s="1">
        <v>2400</v>
      </c>
      <c r="B84" s="1">
        <f t="shared" si="9"/>
        <v>3355</v>
      </c>
      <c r="C84" s="2">
        <f t="shared" si="5"/>
        <v>279.58333333333331</v>
      </c>
      <c r="D84" s="2">
        <f t="shared" si="10"/>
        <v>3355</v>
      </c>
      <c r="E84" s="12">
        <f t="shared" si="7"/>
        <v>3400</v>
      </c>
      <c r="F84" s="3">
        <f t="shared" si="11"/>
        <v>45</v>
      </c>
    </row>
    <row r="85" spans="1:6" x14ac:dyDescent="0.3">
      <c r="A85" s="1">
        <v>2450</v>
      </c>
      <c r="B85" s="1">
        <f t="shared" si="9"/>
        <v>3425</v>
      </c>
      <c r="C85" s="2">
        <f t="shared" si="5"/>
        <v>285.41666666666669</v>
      </c>
      <c r="D85" s="2">
        <f t="shared" si="10"/>
        <v>3425</v>
      </c>
      <c r="E85" s="12">
        <f t="shared" si="7"/>
        <v>3400</v>
      </c>
      <c r="F85" s="3">
        <f t="shared" si="11"/>
        <v>-25</v>
      </c>
    </row>
    <row r="86" spans="1:6" x14ac:dyDescent="0.3">
      <c r="A86" s="1">
        <v>2500</v>
      </c>
      <c r="B86" s="1">
        <f t="shared" si="9"/>
        <v>3495</v>
      </c>
      <c r="C86" s="2">
        <f t="shared" si="5"/>
        <v>291.25</v>
      </c>
      <c r="D86" s="2">
        <f t="shared" si="10"/>
        <v>3495</v>
      </c>
      <c r="E86" s="12">
        <f t="shared" si="7"/>
        <v>3500</v>
      </c>
      <c r="F86" s="3">
        <f t="shared" si="11"/>
        <v>5</v>
      </c>
    </row>
    <row r="87" spans="1:6" x14ac:dyDescent="0.3">
      <c r="A87" s="1">
        <v>2600</v>
      </c>
      <c r="B87" s="1">
        <f t="shared" si="9"/>
        <v>3635</v>
      </c>
      <c r="C87" s="2">
        <f t="shared" si="5"/>
        <v>302.91666666666669</v>
      </c>
      <c r="D87" s="2">
        <f t="shared" si="10"/>
        <v>3635</v>
      </c>
      <c r="E87" s="12">
        <f t="shared" si="7"/>
        <v>3600</v>
      </c>
      <c r="F87" s="3">
        <f t="shared" si="11"/>
        <v>-35</v>
      </c>
    </row>
    <row r="88" spans="1:6" x14ac:dyDescent="0.3">
      <c r="A88" s="1">
        <v>2700</v>
      </c>
      <c r="B88" s="1">
        <f t="shared" si="9"/>
        <v>3775</v>
      </c>
      <c r="C88" s="2">
        <f t="shared" si="5"/>
        <v>314.58333333333331</v>
      </c>
      <c r="D88" s="2">
        <f t="shared" si="10"/>
        <v>3775</v>
      </c>
      <c r="E88" s="12">
        <f t="shared" si="7"/>
        <v>3800</v>
      </c>
      <c r="F88" s="3">
        <f t="shared" si="11"/>
        <v>25</v>
      </c>
    </row>
    <row r="89" spans="1:6" x14ac:dyDescent="0.3">
      <c r="A89" s="1">
        <v>2730</v>
      </c>
      <c r="B89" s="1">
        <f t="shared" si="9"/>
        <v>3817</v>
      </c>
      <c r="C89" s="2">
        <f t="shared" si="5"/>
        <v>318.08333333333331</v>
      </c>
      <c r="D89" s="2">
        <f t="shared" si="10"/>
        <v>3817</v>
      </c>
      <c r="E89" s="12">
        <f t="shared" si="7"/>
        <v>3800</v>
      </c>
      <c r="F89" s="3">
        <f t="shared" si="11"/>
        <v>-17</v>
      </c>
    </row>
    <row r="90" spans="1:6" x14ac:dyDescent="0.3">
      <c r="A90" s="1">
        <v>2800</v>
      </c>
      <c r="B90" s="1">
        <f t="shared" si="9"/>
        <v>3915</v>
      </c>
      <c r="C90" s="2">
        <f t="shared" si="5"/>
        <v>326.25</v>
      </c>
      <c r="D90" s="2">
        <f t="shared" si="10"/>
        <v>3915</v>
      </c>
      <c r="E90" s="12">
        <f t="shared" si="7"/>
        <v>3900</v>
      </c>
      <c r="F90" s="3">
        <f t="shared" si="11"/>
        <v>-15</v>
      </c>
    </row>
    <row r="91" spans="1:6" x14ac:dyDescent="0.3">
      <c r="A91" s="1">
        <v>2900</v>
      </c>
      <c r="B91" s="1">
        <f t="shared" si="9"/>
        <v>4054</v>
      </c>
      <c r="C91" s="2">
        <f t="shared" si="5"/>
        <v>337.83333333333331</v>
      </c>
      <c r="D91" s="2">
        <f t="shared" si="10"/>
        <v>4054</v>
      </c>
      <c r="E91" s="12">
        <f t="shared" si="7"/>
        <v>4100</v>
      </c>
      <c r="F91" s="3">
        <f t="shared" si="11"/>
        <v>46</v>
      </c>
    </row>
    <row r="92" spans="1:6" x14ac:dyDescent="0.3">
      <c r="A92" s="1">
        <v>3000</v>
      </c>
      <c r="B92" s="1">
        <f t="shared" si="9"/>
        <v>4194</v>
      </c>
      <c r="C92" s="2">
        <f t="shared" si="5"/>
        <v>349.5</v>
      </c>
      <c r="D92" s="2">
        <f t="shared" si="10"/>
        <v>4194</v>
      </c>
      <c r="E92" s="12">
        <f t="shared" si="7"/>
        <v>4200</v>
      </c>
      <c r="F92" s="3">
        <f t="shared" si="11"/>
        <v>6</v>
      </c>
    </row>
    <row r="93" spans="1:6" x14ac:dyDescent="0.3">
      <c r="A93" s="1">
        <v>3100</v>
      </c>
      <c r="B93" s="1">
        <f t="shared" si="9"/>
        <v>4334</v>
      </c>
      <c r="C93" s="2">
        <f t="shared" si="5"/>
        <v>361.16666666666669</v>
      </c>
      <c r="D93" s="2">
        <f t="shared" si="10"/>
        <v>4334</v>
      </c>
      <c r="E93" s="12">
        <f t="shared" si="7"/>
        <v>4300</v>
      </c>
      <c r="F93" s="3">
        <f t="shared" si="11"/>
        <v>-34</v>
      </c>
    </row>
    <row r="94" spans="1:6" x14ac:dyDescent="0.3">
      <c r="A94" s="1">
        <v>3200</v>
      </c>
      <c r="B94" s="1">
        <f t="shared" si="9"/>
        <v>4474</v>
      </c>
      <c r="C94" s="2">
        <f t="shared" si="5"/>
        <v>372.83333333333331</v>
      </c>
      <c r="D94" s="2">
        <f t="shared" si="10"/>
        <v>4474</v>
      </c>
      <c r="E94" s="12">
        <f t="shared" si="7"/>
        <v>4500</v>
      </c>
      <c r="F94" s="3">
        <f t="shared" si="11"/>
        <v>26</v>
      </c>
    </row>
    <row r="95" spans="1:6" x14ac:dyDescent="0.3">
      <c r="A95" s="1">
        <v>3300</v>
      </c>
      <c r="B95" s="1">
        <f t="shared" si="9"/>
        <v>4614</v>
      </c>
      <c r="C95" s="2">
        <f t="shared" si="5"/>
        <v>384.5</v>
      </c>
      <c r="D95" s="2">
        <f t="shared" si="10"/>
        <v>4614</v>
      </c>
      <c r="E95" s="12">
        <f t="shared" si="7"/>
        <v>4600</v>
      </c>
      <c r="F95" s="3">
        <f t="shared" si="11"/>
        <v>-14</v>
      </c>
    </row>
    <row r="96" spans="1:6" x14ac:dyDescent="0.3">
      <c r="A96" s="1">
        <v>3400</v>
      </c>
      <c r="B96" s="1">
        <f t="shared" si="9"/>
        <v>4753</v>
      </c>
      <c r="C96" s="2">
        <f t="shared" si="5"/>
        <v>396.08333333333331</v>
      </c>
      <c r="D96" s="2">
        <f t="shared" si="10"/>
        <v>4753</v>
      </c>
      <c r="E96" s="12">
        <f t="shared" si="7"/>
        <v>4800</v>
      </c>
      <c r="F96" s="3">
        <f t="shared" si="11"/>
        <v>47</v>
      </c>
    </row>
    <row r="97" spans="1:6" x14ac:dyDescent="0.3">
      <c r="A97" s="1">
        <v>3500</v>
      </c>
      <c r="B97" s="1">
        <f t="shared" si="9"/>
        <v>4893</v>
      </c>
      <c r="C97" s="2">
        <f t="shared" si="5"/>
        <v>407.75</v>
      </c>
      <c r="D97" s="2">
        <f t="shared" si="10"/>
        <v>4893</v>
      </c>
      <c r="E97" s="12">
        <f t="shared" si="7"/>
        <v>4900</v>
      </c>
      <c r="F97" s="3">
        <f t="shared" si="11"/>
        <v>7</v>
      </c>
    </row>
    <row r="98" spans="1:6" x14ac:dyDescent="0.3">
      <c r="A98" s="1">
        <v>3600</v>
      </c>
      <c r="B98" s="1">
        <f t="shared" si="9"/>
        <v>5033</v>
      </c>
      <c r="C98" s="2">
        <f t="shared" si="5"/>
        <v>419.41666666666669</v>
      </c>
      <c r="D98" s="2">
        <f t="shared" si="10"/>
        <v>5033</v>
      </c>
      <c r="E98" s="12">
        <f t="shared" si="7"/>
        <v>5000</v>
      </c>
      <c r="F98" s="3">
        <f t="shared" si="11"/>
        <v>-33</v>
      </c>
    </row>
    <row r="99" spans="1:6" x14ac:dyDescent="0.3">
      <c r="A99" s="1">
        <v>3700</v>
      </c>
      <c r="B99" s="1">
        <f t="shared" si="9"/>
        <v>5173</v>
      </c>
      <c r="C99" s="2">
        <f t="shared" si="5"/>
        <v>431.08333333333331</v>
      </c>
      <c r="D99" s="2">
        <f t="shared" si="10"/>
        <v>5173</v>
      </c>
      <c r="E99" s="12">
        <f t="shared" si="7"/>
        <v>5200</v>
      </c>
      <c r="F99" s="3">
        <f t="shared" si="11"/>
        <v>27</v>
      </c>
    </row>
    <row r="100" spans="1:6" x14ac:dyDescent="0.3">
      <c r="A100" s="1">
        <v>3800</v>
      </c>
      <c r="B100" s="1">
        <f t="shared" si="9"/>
        <v>5313</v>
      </c>
      <c r="C100" s="2">
        <f t="shared" si="5"/>
        <v>442.75</v>
      </c>
      <c r="D100" s="2">
        <f t="shared" si="10"/>
        <v>5313</v>
      </c>
      <c r="E100" s="12">
        <f t="shared" si="7"/>
        <v>5300</v>
      </c>
      <c r="F100" s="3">
        <f t="shared" si="11"/>
        <v>-13</v>
      </c>
    </row>
    <row r="101" spans="1:6" x14ac:dyDescent="0.3">
      <c r="A101" s="1">
        <v>3900</v>
      </c>
      <c r="B101" s="1">
        <f t="shared" si="9"/>
        <v>5453</v>
      </c>
      <c r="C101" s="2">
        <f t="shared" si="5"/>
        <v>454.41666666666669</v>
      </c>
      <c r="D101" s="2">
        <f t="shared" si="10"/>
        <v>5453</v>
      </c>
      <c r="E101" s="12">
        <f t="shared" si="7"/>
        <v>5500</v>
      </c>
      <c r="F101" s="3">
        <f t="shared" si="11"/>
        <v>47</v>
      </c>
    </row>
    <row r="102" spans="1:6" x14ac:dyDescent="0.3">
      <c r="A102" s="1">
        <v>4000</v>
      </c>
      <c r="B102" s="1">
        <f t="shared" si="9"/>
        <v>5592</v>
      </c>
      <c r="C102" s="2">
        <f t="shared" si="5"/>
        <v>466</v>
      </c>
      <c r="D102" s="2">
        <f t="shared" si="10"/>
        <v>5592</v>
      </c>
      <c r="E102" s="12">
        <f t="shared" si="7"/>
        <v>5600</v>
      </c>
      <c r="F102" s="3">
        <f t="shared" si="11"/>
        <v>8</v>
      </c>
    </row>
    <row r="103" spans="1:6" x14ac:dyDescent="0.3">
      <c r="A103" s="1">
        <v>4100</v>
      </c>
      <c r="B103" s="1">
        <f t="shared" si="9"/>
        <v>5732</v>
      </c>
      <c r="C103" s="2">
        <f t="shared" si="5"/>
        <v>477.66666666666669</v>
      </c>
      <c r="D103" s="2">
        <f t="shared" si="10"/>
        <v>5732</v>
      </c>
      <c r="E103" s="12">
        <f t="shared" si="7"/>
        <v>5700</v>
      </c>
      <c r="F103" s="3">
        <f t="shared" si="11"/>
        <v>-32</v>
      </c>
    </row>
    <row r="104" spans="1:6" x14ac:dyDescent="0.3">
      <c r="A104" s="1">
        <v>4200</v>
      </c>
      <c r="B104" s="1">
        <f t="shared" si="9"/>
        <v>5872</v>
      </c>
      <c r="C104" s="2">
        <f t="shared" si="5"/>
        <v>489.33333333333331</v>
      </c>
      <c r="D104" s="2">
        <f t="shared" si="10"/>
        <v>5872</v>
      </c>
      <c r="E104" s="12">
        <f t="shared" si="7"/>
        <v>5900</v>
      </c>
      <c r="F104" s="3">
        <f t="shared" si="11"/>
        <v>28</v>
      </c>
    </row>
    <row r="105" spans="1:6" x14ac:dyDescent="0.3">
      <c r="A105" s="1">
        <v>4226.1000000000004</v>
      </c>
      <c r="B105" s="1">
        <f t="shared" si="9"/>
        <v>5908</v>
      </c>
      <c r="C105" s="2">
        <f t="shared" si="5"/>
        <v>492.33333333333331</v>
      </c>
      <c r="D105" s="2">
        <f t="shared" si="10"/>
        <v>5908</v>
      </c>
      <c r="E105" s="12">
        <f t="shared" si="7"/>
        <v>5900</v>
      </c>
      <c r="F105" s="3">
        <f t="shared" si="11"/>
        <v>-8</v>
      </c>
    </row>
    <row r="106" spans="1:6" x14ac:dyDescent="0.3">
      <c r="A106" s="1">
        <v>4300</v>
      </c>
      <c r="B106" s="1">
        <f t="shared" si="9"/>
        <v>6012</v>
      </c>
      <c r="C106" s="2">
        <f t="shared" si="5"/>
        <v>501</v>
      </c>
      <c r="D106" s="2">
        <f t="shared" si="10"/>
        <v>6012</v>
      </c>
      <c r="E106" s="12">
        <f t="shared" si="7"/>
        <v>6000</v>
      </c>
      <c r="F106" s="3">
        <f t="shared" si="11"/>
        <v>-12</v>
      </c>
    </row>
    <row r="107" spans="1:6" x14ac:dyDescent="0.3">
      <c r="A107" s="1">
        <v>4400</v>
      </c>
      <c r="B107" s="1">
        <f t="shared" si="9"/>
        <v>6152</v>
      </c>
      <c r="C107" s="2">
        <f t="shared" si="5"/>
        <v>512.66666666666663</v>
      </c>
      <c r="D107" s="2">
        <f t="shared" si="10"/>
        <v>6152</v>
      </c>
      <c r="E107" s="12">
        <f t="shared" si="7"/>
        <v>6200</v>
      </c>
      <c r="F107" s="3">
        <f t="shared" si="11"/>
        <v>48</v>
      </c>
    </row>
    <row r="108" spans="1:6" x14ac:dyDescent="0.3">
      <c r="A108" s="1">
        <v>4430</v>
      </c>
      <c r="B108" s="1">
        <f t="shared" si="9"/>
        <v>6193</v>
      </c>
      <c r="C108" s="2">
        <f t="shared" si="5"/>
        <v>516.08333333333337</v>
      </c>
      <c r="D108" s="2">
        <f t="shared" si="10"/>
        <v>6193</v>
      </c>
      <c r="E108" s="12">
        <f t="shared" si="7"/>
        <v>6200</v>
      </c>
      <c r="F108" s="3">
        <f t="shared" si="11"/>
        <v>7</v>
      </c>
    </row>
    <row r="109" spans="1:6" x14ac:dyDescent="0.3">
      <c r="A109" s="1">
        <v>4500</v>
      </c>
      <c r="B109" s="1">
        <f t="shared" si="9"/>
        <v>6291</v>
      </c>
      <c r="C109" s="2">
        <f t="shared" si="5"/>
        <v>524.25</v>
      </c>
      <c r="D109" s="2">
        <f t="shared" si="10"/>
        <v>6291</v>
      </c>
      <c r="E109" s="12">
        <f t="shared" si="7"/>
        <v>6300</v>
      </c>
      <c r="F109" s="3">
        <f t="shared" si="11"/>
        <v>9</v>
      </c>
    </row>
    <row r="110" spans="1:6" x14ac:dyDescent="0.3">
      <c r="A110" s="1">
        <v>4600</v>
      </c>
      <c r="B110" s="1">
        <f t="shared" si="9"/>
        <v>6431</v>
      </c>
      <c r="C110" s="2">
        <f t="shared" si="5"/>
        <v>535.91666666666663</v>
      </c>
      <c r="D110" s="2">
        <f t="shared" si="10"/>
        <v>6431</v>
      </c>
      <c r="E110" s="12">
        <f t="shared" si="7"/>
        <v>6400</v>
      </c>
      <c r="F110" s="3">
        <f t="shared" si="11"/>
        <v>-31</v>
      </c>
    </row>
    <row r="111" spans="1:6" x14ac:dyDescent="0.3">
      <c r="A111" s="1">
        <v>4700</v>
      </c>
      <c r="B111" s="1">
        <f t="shared" si="9"/>
        <v>6571</v>
      </c>
      <c r="C111" s="2">
        <f t="shared" si="5"/>
        <v>547.58333333333337</v>
      </c>
      <c r="D111" s="2">
        <f t="shared" si="10"/>
        <v>6571</v>
      </c>
      <c r="E111" s="12">
        <f t="shared" si="7"/>
        <v>6600</v>
      </c>
      <c r="F111" s="3">
        <f t="shared" si="11"/>
        <v>29</v>
      </c>
    </row>
    <row r="112" spans="1:6" x14ac:dyDescent="0.3">
      <c r="A112" s="1">
        <v>1770</v>
      </c>
      <c r="B112" s="1">
        <f t="shared" si="9"/>
        <v>2475</v>
      </c>
      <c r="C112" s="2">
        <f t="shared" si="5"/>
        <v>206.25</v>
      </c>
      <c r="D112" s="2">
        <f t="shared" si="10"/>
        <v>2475</v>
      </c>
      <c r="E112" s="12">
        <f t="shared" si="7"/>
        <v>2500</v>
      </c>
      <c r="F112" s="3">
        <f t="shared" si="11"/>
        <v>25</v>
      </c>
    </row>
    <row r="113" spans="1:6" x14ac:dyDescent="0.3">
      <c r="A113" s="1">
        <v>4800</v>
      </c>
      <c r="B113" s="1">
        <f t="shared" si="9"/>
        <v>6711</v>
      </c>
      <c r="C113" s="2">
        <f t="shared" si="5"/>
        <v>559.25</v>
      </c>
      <c r="D113" s="2">
        <f t="shared" si="10"/>
        <v>6711</v>
      </c>
      <c r="E113" s="12">
        <f t="shared" si="7"/>
        <v>6700</v>
      </c>
      <c r="F113" s="3">
        <f t="shared" si="11"/>
        <v>-11</v>
      </c>
    </row>
    <row r="114" spans="1:6" x14ac:dyDescent="0.3">
      <c r="A114" s="1">
        <v>4900</v>
      </c>
      <c r="B114" s="1">
        <f t="shared" si="9"/>
        <v>6851</v>
      </c>
      <c r="C114" s="2">
        <f t="shared" si="5"/>
        <v>570.91666666666663</v>
      </c>
      <c r="D114" s="2">
        <f t="shared" si="10"/>
        <v>6851</v>
      </c>
      <c r="E114" s="12">
        <f t="shared" si="7"/>
        <v>6900</v>
      </c>
      <c r="F114" s="3">
        <f t="shared" si="11"/>
        <v>49</v>
      </c>
    </row>
    <row r="115" spans="1:6" x14ac:dyDescent="0.3">
      <c r="A115" s="1">
        <v>4930</v>
      </c>
      <c r="B115" s="1">
        <f t="shared" si="9"/>
        <v>6893</v>
      </c>
      <c r="C115" s="2">
        <f t="shared" si="5"/>
        <v>574.41666666666663</v>
      </c>
      <c r="D115" s="2">
        <f t="shared" si="10"/>
        <v>6893</v>
      </c>
      <c r="E115" s="12">
        <f t="shared" si="7"/>
        <v>6900</v>
      </c>
      <c r="F115" s="3">
        <f t="shared" si="11"/>
        <v>7</v>
      </c>
    </row>
    <row r="116" spans="1:6" x14ac:dyDescent="0.3">
      <c r="A116" s="1">
        <v>5000</v>
      </c>
      <c r="B116" s="1">
        <f t="shared" si="9"/>
        <v>6990</v>
      </c>
      <c r="C116" s="2">
        <f t="shared" si="5"/>
        <v>582.5</v>
      </c>
      <c r="D116" s="2">
        <f t="shared" si="10"/>
        <v>6990</v>
      </c>
      <c r="E116" s="12">
        <f t="shared" si="7"/>
        <v>7000</v>
      </c>
      <c r="F116" s="3">
        <f t="shared" si="11"/>
        <v>10</v>
      </c>
    </row>
    <row r="117" spans="1:6" x14ac:dyDescent="0.3">
      <c r="A117" s="1">
        <v>5100</v>
      </c>
      <c r="B117" s="1">
        <f t="shared" si="9"/>
        <v>7130</v>
      </c>
      <c r="C117" s="2">
        <f t="shared" si="5"/>
        <v>594.16666666666663</v>
      </c>
      <c r="D117" s="2">
        <f t="shared" si="10"/>
        <v>7130</v>
      </c>
      <c r="E117" s="12">
        <f t="shared" si="7"/>
        <v>7100</v>
      </c>
      <c r="F117" s="3">
        <f t="shared" si="11"/>
        <v>-30</v>
      </c>
    </row>
    <row r="118" spans="1:6" x14ac:dyDescent="0.3">
      <c r="A118" s="1">
        <v>5200</v>
      </c>
      <c r="B118" s="1">
        <f t="shared" si="9"/>
        <v>7270</v>
      </c>
      <c r="C118" s="2">
        <f t="shared" ref="C118:C181" si="12">VALUE(B118)/12</f>
        <v>605.83333333333337</v>
      </c>
      <c r="D118" s="2">
        <f t="shared" si="10"/>
        <v>7270</v>
      </c>
      <c r="E118" s="12">
        <f t="shared" si="7"/>
        <v>7300</v>
      </c>
      <c r="F118" s="3">
        <f t="shared" si="11"/>
        <v>30</v>
      </c>
    </row>
    <row r="119" spans="1:6" x14ac:dyDescent="0.3">
      <c r="A119" s="1">
        <v>5300</v>
      </c>
      <c r="B119" s="1">
        <f t="shared" si="9"/>
        <v>7410</v>
      </c>
      <c r="C119" s="2">
        <f t="shared" si="12"/>
        <v>617.5</v>
      </c>
      <c r="D119" s="2">
        <f t="shared" si="10"/>
        <v>7410</v>
      </c>
      <c r="E119" s="12">
        <f t="shared" si="7"/>
        <v>7400</v>
      </c>
      <c r="F119" s="3">
        <f t="shared" si="11"/>
        <v>-10</v>
      </c>
    </row>
    <row r="120" spans="1:6" x14ac:dyDescent="0.3">
      <c r="A120" s="1">
        <v>5318</v>
      </c>
      <c r="B120" s="1">
        <f t="shared" si="9"/>
        <v>7435</v>
      </c>
      <c r="C120" s="2">
        <f t="shared" si="12"/>
        <v>619.58333333333337</v>
      </c>
      <c r="D120" s="2">
        <f t="shared" si="10"/>
        <v>7435</v>
      </c>
      <c r="E120" s="12">
        <f t="shared" ref="E120:E183" si="13">IF(D120&lt;1000,D120,ROUND(D120,-2))</f>
        <v>7400</v>
      </c>
      <c r="F120" s="3">
        <f t="shared" si="11"/>
        <v>-35</v>
      </c>
    </row>
    <row r="121" spans="1:6" x14ac:dyDescent="0.3">
      <c r="A121" s="1">
        <v>5400</v>
      </c>
      <c r="B121" s="1">
        <f t="shared" si="9"/>
        <v>7550</v>
      </c>
      <c r="C121" s="2">
        <f t="shared" si="12"/>
        <v>629.16666666666663</v>
      </c>
      <c r="D121" s="2">
        <f t="shared" si="10"/>
        <v>7550</v>
      </c>
      <c r="E121" s="12">
        <f t="shared" si="13"/>
        <v>7600</v>
      </c>
      <c r="F121" s="3">
        <f t="shared" si="11"/>
        <v>50</v>
      </c>
    </row>
    <row r="122" spans="1:6" x14ac:dyDescent="0.3">
      <c r="A122" s="1">
        <v>5420.91</v>
      </c>
      <c r="B122" s="1">
        <f t="shared" si="9"/>
        <v>7579</v>
      </c>
      <c r="C122" s="2">
        <f t="shared" si="12"/>
        <v>631.58333333333337</v>
      </c>
      <c r="D122" s="2">
        <f t="shared" si="10"/>
        <v>7579</v>
      </c>
      <c r="E122" s="12">
        <f t="shared" si="13"/>
        <v>7600</v>
      </c>
      <c r="F122" s="3">
        <f t="shared" si="11"/>
        <v>21</v>
      </c>
    </row>
    <row r="123" spans="1:6" x14ac:dyDescent="0.3">
      <c r="A123" s="1">
        <v>5500</v>
      </c>
      <c r="B123" s="1">
        <f t="shared" si="9"/>
        <v>7689</v>
      </c>
      <c r="C123" s="2">
        <f t="shared" si="12"/>
        <v>640.75</v>
      </c>
      <c r="D123" s="2">
        <f t="shared" ref="D123:D186" si="14">B123</f>
        <v>7689</v>
      </c>
      <c r="E123" s="12">
        <f t="shared" si="13"/>
        <v>7700</v>
      </c>
      <c r="F123" s="3">
        <f t="shared" ref="F123:F186" si="15">E123-D123</f>
        <v>11</v>
      </c>
    </row>
    <row r="124" spans="1:6" x14ac:dyDescent="0.3">
      <c r="A124" s="1">
        <v>5600</v>
      </c>
      <c r="B124" s="1">
        <f t="shared" si="9"/>
        <v>7829</v>
      </c>
      <c r="C124" s="2">
        <f t="shared" si="12"/>
        <v>652.41666666666663</v>
      </c>
      <c r="D124" s="2">
        <f t="shared" si="14"/>
        <v>7829</v>
      </c>
      <c r="E124" s="12">
        <f t="shared" si="13"/>
        <v>7800</v>
      </c>
      <c r="F124" s="3">
        <f t="shared" si="15"/>
        <v>-29</v>
      </c>
    </row>
    <row r="125" spans="1:6" x14ac:dyDescent="0.3">
      <c r="A125" s="1">
        <v>5700</v>
      </c>
      <c r="B125" s="1">
        <f t="shared" si="9"/>
        <v>7969</v>
      </c>
      <c r="C125" s="2">
        <f t="shared" si="12"/>
        <v>664.08333333333337</v>
      </c>
      <c r="D125" s="2">
        <f t="shared" si="14"/>
        <v>7969</v>
      </c>
      <c r="E125" s="12">
        <f t="shared" si="13"/>
        <v>8000</v>
      </c>
      <c r="F125" s="3">
        <f t="shared" si="15"/>
        <v>31</v>
      </c>
    </row>
    <row r="126" spans="1:6" x14ac:dyDescent="0.3">
      <c r="A126" s="1">
        <v>5770.78</v>
      </c>
      <c r="B126" s="1">
        <f t="shared" si="9"/>
        <v>8068</v>
      </c>
      <c r="C126" s="2">
        <f t="shared" si="12"/>
        <v>672.33333333333337</v>
      </c>
      <c r="D126" s="2">
        <f t="shared" si="14"/>
        <v>8068</v>
      </c>
      <c r="E126" s="12">
        <f t="shared" si="13"/>
        <v>8100</v>
      </c>
      <c r="F126" s="3">
        <f t="shared" si="15"/>
        <v>32</v>
      </c>
    </row>
    <row r="127" spans="1:6" x14ac:dyDescent="0.3">
      <c r="A127" s="1">
        <v>5800</v>
      </c>
      <c r="B127" s="1">
        <f t="shared" si="9"/>
        <v>8109</v>
      </c>
      <c r="C127" s="2">
        <f t="shared" si="12"/>
        <v>675.75</v>
      </c>
      <c r="D127" s="2">
        <f t="shared" si="14"/>
        <v>8109</v>
      </c>
      <c r="E127" s="12">
        <f t="shared" si="13"/>
        <v>8100</v>
      </c>
      <c r="F127" s="3">
        <f t="shared" si="15"/>
        <v>-9</v>
      </c>
    </row>
    <row r="128" spans="1:6" x14ac:dyDescent="0.3">
      <c r="A128" s="1">
        <v>5900</v>
      </c>
      <c r="B128" s="1">
        <f t="shared" si="9"/>
        <v>8249</v>
      </c>
      <c r="C128" s="2">
        <f t="shared" si="12"/>
        <v>687.41666666666663</v>
      </c>
      <c r="D128" s="2">
        <f t="shared" si="14"/>
        <v>8249</v>
      </c>
      <c r="E128" s="12">
        <f t="shared" si="13"/>
        <v>8200</v>
      </c>
      <c r="F128" s="3">
        <f t="shared" si="15"/>
        <v>-49</v>
      </c>
    </row>
    <row r="129" spans="1:6" x14ac:dyDescent="0.3">
      <c r="A129" s="1">
        <v>6000</v>
      </c>
      <c r="B129" s="1">
        <f t="shared" ref="B129:B192" si="16">IF(A129&lt;1000,$B$1*A129,ROUND($B$1*A129,0))</f>
        <v>8388</v>
      </c>
      <c r="C129" s="2">
        <f t="shared" si="12"/>
        <v>699</v>
      </c>
      <c r="D129" s="2">
        <f t="shared" si="14"/>
        <v>8388</v>
      </c>
      <c r="E129" s="12">
        <f t="shared" si="13"/>
        <v>8400</v>
      </c>
      <c r="F129" s="3">
        <f t="shared" si="15"/>
        <v>12</v>
      </c>
    </row>
    <row r="130" spans="1:6" x14ac:dyDescent="0.3">
      <c r="A130" s="1">
        <v>6078</v>
      </c>
      <c r="B130" s="1">
        <f t="shared" si="16"/>
        <v>8498</v>
      </c>
      <c r="C130" s="2">
        <f t="shared" si="12"/>
        <v>708.16666666666663</v>
      </c>
      <c r="D130" s="2">
        <f t="shared" si="14"/>
        <v>8498</v>
      </c>
      <c r="E130" s="12">
        <f t="shared" si="13"/>
        <v>8500</v>
      </c>
      <c r="F130" s="3">
        <f t="shared" si="15"/>
        <v>2</v>
      </c>
    </row>
    <row r="131" spans="1:6" x14ac:dyDescent="0.3">
      <c r="A131" s="1">
        <v>6100</v>
      </c>
      <c r="B131" s="1">
        <f t="shared" si="16"/>
        <v>8528</v>
      </c>
      <c r="C131" s="2">
        <f t="shared" si="12"/>
        <v>710.66666666666663</v>
      </c>
      <c r="D131" s="2">
        <f t="shared" si="14"/>
        <v>8528</v>
      </c>
      <c r="E131" s="12">
        <f t="shared" si="13"/>
        <v>8500</v>
      </c>
      <c r="F131" s="3">
        <f t="shared" si="15"/>
        <v>-28</v>
      </c>
    </row>
    <row r="132" spans="1:6" x14ac:dyDescent="0.3">
      <c r="A132" s="1">
        <v>6140</v>
      </c>
      <c r="B132" s="1">
        <f t="shared" si="16"/>
        <v>8584</v>
      </c>
      <c r="C132" s="2">
        <f t="shared" si="12"/>
        <v>715.33333333333337</v>
      </c>
      <c r="D132" s="2">
        <f t="shared" si="14"/>
        <v>8584</v>
      </c>
      <c r="E132" s="12">
        <f t="shared" si="13"/>
        <v>8600</v>
      </c>
      <c r="F132" s="3">
        <f t="shared" si="15"/>
        <v>16</v>
      </c>
    </row>
    <row r="133" spans="1:6" x14ac:dyDescent="0.3">
      <c r="A133" s="1">
        <v>6200</v>
      </c>
      <c r="B133" s="1">
        <f t="shared" si="16"/>
        <v>8668</v>
      </c>
      <c r="C133" s="2">
        <f t="shared" si="12"/>
        <v>722.33333333333337</v>
      </c>
      <c r="D133" s="2">
        <f t="shared" si="14"/>
        <v>8668</v>
      </c>
      <c r="E133" s="12">
        <f t="shared" si="13"/>
        <v>8700</v>
      </c>
      <c r="F133" s="3">
        <f t="shared" si="15"/>
        <v>32</v>
      </c>
    </row>
    <row r="134" spans="1:6" x14ac:dyDescent="0.3">
      <c r="A134" s="1">
        <v>6290.15</v>
      </c>
      <c r="B134" s="1">
        <f t="shared" si="16"/>
        <v>8794</v>
      </c>
      <c r="C134" s="2">
        <f t="shared" si="12"/>
        <v>732.83333333333337</v>
      </c>
      <c r="D134" s="2">
        <f t="shared" si="14"/>
        <v>8794</v>
      </c>
      <c r="E134" s="12">
        <f t="shared" si="13"/>
        <v>8800</v>
      </c>
      <c r="F134" s="3">
        <f t="shared" si="15"/>
        <v>6</v>
      </c>
    </row>
    <row r="135" spans="1:6" x14ac:dyDescent="0.3">
      <c r="A135" s="1">
        <v>6300</v>
      </c>
      <c r="B135" s="1">
        <f t="shared" si="16"/>
        <v>8808</v>
      </c>
      <c r="C135" s="2">
        <f t="shared" si="12"/>
        <v>734</v>
      </c>
      <c r="D135" s="2">
        <f t="shared" si="14"/>
        <v>8808</v>
      </c>
      <c r="E135" s="12">
        <f t="shared" si="13"/>
        <v>8800</v>
      </c>
      <c r="F135" s="3">
        <f t="shared" si="15"/>
        <v>-8</v>
      </c>
    </row>
    <row r="136" spans="1:6" x14ac:dyDescent="0.3">
      <c r="A136" s="1">
        <v>6400</v>
      </c>
      <c r="B136" s="1">
        <f t="shared" si="16"/>
        <v>8948</v>
      </c>
      <c r="C136" s="2">
        <f t="shared" si="12"/>
        <v>745.66666666666663</v>
      </c>
      <c r="D136" s="2">
        <f t="shared" si="14"/>
        <v>8948</v>
      </c>
      <c r="E136" s="12">
        <f t="shared" si="13"/>
        <v>8900</v>
      </c>
      <c r="F136" s="3">
        <f t="shared" si="15"/>
        <v>-48</v>
      </c>
    </row>
    <row r="137" spans="1:6" x14ac:dyDescent="0.3">
      <c r="A137" s="1">
        <v>6500</v>
      </c>
      <c r="B137" s="1">
        <f t="shared" si="16"/>
        <v>9088</v>
      </c>
      <c r="C137" s="2">
        <f t="shared" si="12"/>
        <v>757.33333333333337</v>
      </c>
      <c r="D137" s="2">
        <f t="shared" si="14"/>
        <v>9088</v>
      </c>
      <c r="E137" s="12">
        <f t="shared" si="13"/>
        <v>9100</v>
      </c>
      <c r="F137" s="3">
        <f t="shared" si="15"/>
        <v>12</v>
      </c>
    </row>
    <row r="138" spans="1:6" x14ac:dyDescent="0.3">
      <c r="A138" s="1">
        <v>6600</v>
      </c>
      <c r="B138" s="1">
        <f t="shared" si="16"/>
        <v>9227</v>
      </c>
      <c r="C138" s="2">
        <f t="shared" si="12"/>
        <v>768.91666666666663</v>
      </c>
      <c r="D138" s="2">
        <f t="shared" si="14"/>
        <v>9227</v>
      </c>
      <c r="E138" s="12">
        <f t="shared" si="13"/>
        <v>9200</v>
      </c>
      <c r="F138" s="3">
        <f t="shared" si="15"/>
        <v>-27</v>
      </c>
    </row>
    <row r="139" spans="1:6" x14ac:dyDescent="0.3">
      <c r="A139" s="1">
        <v>6700</v>
      </c>
      <c r="B139" s="1">
        <f t="shared" si="16"/>
        <v>9367</v>
      </c>
      <c r="C139" s="2">
        <f t="shared" si="12"/>
        <v>780.58333333333337</v>
      </c>
      <c r="D139" s="2">
        <f t="shared" si="14"/>
        <v>9367</v>
      </c>
      <c r="E139" s="12">
        <f t="shared" si="13"/>
        <v>9400</v>
      </c>
      <c r="F139" s="3">
        <f t="shared" si="15"/>
        <v>33</v>
      </c>
    </row>
    <row r="140" spans="1:6" x14ac:dyDescent="0.3">
      <c r="A140" s="1">
        <v>6743.33</v>
      </c>
      <c r="B140" s="1">
        <f t="shared" si="16"/>
        <v>9428</v>
      </c>
      <c r="C140" s="2">
        <f t="shared" si="12"/>
        <v>785.66666666666663</v>
      </c>
      <c r="D140" s="2">
        <f t="shared" si="14"/>
        <v>9428</v>
      </c>
      <c r="E140" s="12">
        <f t="shared" si="13"/>
        <v>9400</v>
      </c>
      <c r="F140" s="3">
        <f t="shared" si="15"/>
        <v>-28</v>
      </c>
    </row>
    <row r="141" spans="1:6" x14ac:dyDescent="0.3">
      <c r="A141" s="1">
        <v>6800</v>
      </c>
      <c r="B141" s="1">
        <f t="shared" si="16"/>
        <v>9507</v>
      </c>
      <c r="C141" s="2">
        <f t="shared" si="12"/>
        <v>792.25</v>
      </c>
      <c r="D141" s="2">
        <f t="shared" si="14"/>
        <v>9507</v>
      </c>
      <c r="E141" s="12">
        <f t="shared" si="13"/>
        <v>9500</v>
      </c>
      <c r="F141" s="3">
        <f t="shared" si="15"/>
        <v>-7</v>
      </c>
    </row>
    <row r="142" spans="1:6" x14ac:dyDescent="0.3">
      <c r="A142" s="1">
        <v>6900</v>
      </c>
      <c r="B142" s="1">
        <f t="shared" si="16"/>
        <v>9647</v>
      </c>
      <c r="C142" s="2">
        <f t="shared" si="12"/>
        <v>803.91666666666663</v>
      </c>
      <c r="D142" s="2">
        <f t="shared" si="14"/>
        <v>9647</v>
      </c>
      <c r="E142" s="12">
        <f t="shared" si="13"/>
        <v>9600</v>
      </c>
      <c r="F142" s="3">
        <f t="shared" si="15"/>
        <v>-47</v>
      </c>
    </row>
    <row r="143" spans="1:6" x14ac:dyDescent="0.3">
      <c r="A143" s="1">
        <v>7000</v>
      </c>
      <c r="B143" s="1">
        <f t="shared" si="16"/>
        <v>9787</v>
      </c>
      <c r="C143" s="2">
        <f t="shared" si="12"/>
        <v>815.58333333333337</v>
      </c>
      <c r="D143" s="2">
        <f t="shared" si="14"/>
        <v>9787</v>
      </c>
      <c r="E143" s="12">
        <f t="shared" si="13"/>
        <v>9800</v>
      </c>
      <c r="F143" s="3">
        <f t="shared" si="15"/>
        <v>13</v>
      </c>
    </row>
    <row r="144" spans="1:6" x14ac:dyDescent="0.3">
      <c r="A144" s="1">
        <v>7100</v>
      </c>
      <c r="B144" s="1">
        <f t="shared" si="16"/>
        <v>9926</v>
      </c>
      <c r="C144" s="2">
        <f t="shared" si="12"/>
        <v>827.16666666666663</v>
      </c>
      <c r="D144" s="2">
        <f t="shared" si="14"/>
        <v>9926</v>
      </c>
      <c r="E144" s="12">
        <f t="shared" si="13"/>
        <v>9900</v>
      </c>
      <c r="F144" s="3">
        <f t="shared" si="15"/>
        <v>-26</v>
      </c>
    </row>
    <row r="145" spans="1:6" x14ac:dyDescent="0.3">
      <c r="A145" s="1">
        <v>7200</v>
      </c>
      <c r="B145" s="1">
        <f t="shared" si="16"/>
        <v>10066</v>
      </c>
      <c r="C145" s="2">
        <f t="shared" si="12"/>
        <v>838.83333333333337</v>
      </c>
      <c r="D145" s="2">
        <f t="shared" si="14"/>
        <v>10066</v>
      </c>
      <c r="E145" s="12">
        <f t="shared" si="13"/>
        <v>10100</v>
      </c>
      <c r="F145" s="3">
        <f t="shared" si="15"/>
        <v>34</v>
      </c>
    </row>
    <row r="146" spans="1:6" x14ac:dyDescent="0.3">
      <c r="A146" s="1">
        <v>7300</v>
      </c>
      <c r="B146" s="1">
        <f t="shared" si="16"/>
        <v>10206</v>
      </c>
      <c r="C146" s="2">
        <f t="shared" si="12"/>
        <v>850.5</v>
      </c>
      <c r="D146" s="2">
        <f t="shared" si="14"/>
        <v>10206</v>
      </c>
      <c r="E146" s="12">
        <f t="shared" si="13"/>
        <v>10200</v>
      </c>
      <c r="F146" s="3">
        <f t="shared" si="15"/>
        <v>-6</v>
      </c>
    </row>
    <row r="147" spans="1:6" x14ac:dyDescent="0.3">
      <c r="A147" s="1">
        <v>7335.23</v>
      </c>
      <c r="B147" s="1">
        <f t="shared" si="16"/>
        <v>10255</v>
      </c>
      <c r="C147" s="2">
        <f t="shared" si="12"/>
        <v>854.58333333333337</v>
      </c>
      <c r="D147" s="2">
        <f t="shared" si="14"/>
        <v>10255</v>
      </c>
      <c r="E147" s="12">
        <f t="shared" si="13"/>
        <v>10300</v>
      </c>
      <c r="F147" s="3">
        <f t="shared" si="15"/>
        <v>45</v>
      </c>
    </row>
    <row r="148" spans="1:6" x14ac:dyDescent="0.3">
      <c r="A148" s="1">
        <v>7400</v>
      </c>
      <c r="B148" s="1">
        <f t="shared" si="16"/>
        <v>10346</v>
      </c>
      <c r="C148" s="2">
        <f t="shared" si="12"/>
        <v>862.16666666666663</v>
      </c>
      <c r="D148" s="2">
        <f t="shared" si="14"/>
        <v>10346</v>
      </c>
      <c r="E148" s="12">
        <f t="shared" si="13"/>
        <v>10300</v>
      </c>
      <c r="F148" s="3">
        <f t="shared" si="15"/>
        <v>-46</v>
      </c>
    </row>
    <row r="149" spans="1:6" x14ac:dyDescent="0.3">
      <c r="A149" s="1">
        <v>7500</v>
      </c>
      <c r="B149" s="1">
        <f t="shared" si="16"/>
        <v>10486</v>
      </c>
      <c r="C149" s="2">
        <f t="shared" si="12"/>
        <v>873.83333333333337</v>
      </c>
      <c r="D149" s="2">
        <f t="shared" si="14"/>
        <v>10486</v>
      </c>
      <c r="E149" s="12">
        <f t="shared" si="13"/>
        <v>10500</v>
      </c>
      <c r="F149" s="3">
        <f t="shared" si="15"/>
        <v>14</v>
      </c>
    </row>
    <row r="150" spans="1:6" x14ac:dyDescent="0.3">
      <c r="A150" s="1">
        <v>7600</v>
      </c>
      <c r="B150" s="1">
        <f t="shared" si="16"/>
        <v>10625</v>
      </c>
      <c r="C150" s="2">
        <f t="shared" si="12"/>
        <v>885.41666666666663</v>
      </c>
      <c r="D150" s="2">
        <f t="shared" si="14"/>
        <v>10625</v>
      </c>
      <c r="E150" s="12">
        <f t="shared" si="13"/>
        <v>10600</v>
      </c>
      <c r="F150" s="3">
        <f t="shared" si="15"/>
        <v>-25</v>
      </c>
    </row>
    <row r="151" spans="1:6" x14ac:dyDescent="0.3">
      <c r="A151" s="1">
        <v>7700</v>
      </c>
      <c r="B151" s="1">
        <f t="shared" si="16"/>
        <v>10765</v>
      </c>
      <c r="C151" s="2">
        <f t="shared" si="12"/>
        <v>897.08333333333337</v>
      </c>
      <c r="D151" s="2">
        <f t="shared" si="14"/>
        <v>10765</v>
      </c>
      <c r="E151" s="12">
        <f t="shared" si="13"/>
        <v>10800</v>
      </c>
      <c r="F151" s="3">
        <f t="shared" si="15"/>
        <v>35</v>
      </c>
    </row>
    <row r="152" spans="1:6" x14ac:dyDescent="0.3">
      <c r="A152" s="1">
        <v>7800</v>
      </c>
      <c r="B152" s="1">
        <f t="shared" si="16"/>
        <v>10905</v>
      </c>
      <c r="C152" s="2">
        <f t="shared" si="12"/>
        <v>908.75</v>
      </c>
      <c r="D152" s="2">
        <f t="shared" si="14"/>
        <v>10905</v>
      </c>
      <c r="E152" s="12">
        <f t="shared" si="13"/>
        <v>10900</v>
      </c>
      <c r="F152" s="3">
        <f t="shared" si="15"/>
        <v>-5</v>
      </c>
    </row>
    <row r="153" spans="1:6" x14ac:dyDescent="0.3">
      <c r="A153" s="1">
        <v>7900</v>
      </c>
      <c r="B153" s="1">
        <f t="shared" si="16"/>
        <v>11045</v>
      </c>
      <c r="C153" s="2">
        <f t="shared" si="12"/>
        <v>920.41666666666663</v>
      </c>
      <c r="D153" s="2">
        <f t="shared" si="14"/>
        <v>11045</v>
      </c>
      <c r="E153" s="12">
        <f t="shared" si="13"/>
        <v>11000</v>
      </c>
      <c r="F153" s="3">
        <f t="shared" si="15"/>
        <v>-45</v>
      </c>
    </row>
    <row r="154" spans="1:6" x14ac:dyDescent="0.3">
      <c r="A154" s="1">
        <v>8000</v>
      </c>
      <c r="B154" s="1">
        <f t="shared" si="16"/>
        <v>11185</v>
      </c>
      <c r="C154" s="2">
        <f t="shared" si="12"/>
        <v>932.08333333333337</v>
      </c>
      <c r="D154" s="2">
        <f t="shared" si="14"/>
        <v>11185</v>
      </c>
      <c r="E154" s="12">
        <f t="shared" si="13"/>
        <v>11200</v>
      </c>
      <c r="F154" s="3">
        <f t="shared" si="15"/>
        <v>15</v>
      </c>
    </row>
    <row r="155" spans="1:6" x14ac:dyDescent="0.3">
      <c r="A155" s="1">
        <v>8100</v>
      </c>
      <c r="B155" s="1">
        <f t="shared" si="16"/>
        <v>11324</v>
      </c>
      <c r="C155" s="2">
        <f t="shared" si="12"/>
        <v>943.66666666666663</v>
      </c>
      <c r="D155" s="2">
        <f t="shared" si="14"/>
        <v>11324</v>
      </c>
      <c r="E155" s="12">
        <f t="shared" si="13"/>
        <v>11300</v>
      </c>
      <c r="F155" s="3">
        <f t="shared" si="15"/>
        <v>-24</v>
      </c>
    </row>
    <row r="156" spans="1:6" x14ac:dyDescent="0.3">
      <c r="A156" s="1">
        <v>8200</v>
      </c>
      <c r="B156" s="1">
        <f t="shared" si="16"/>
        <v>11464</v>
      </c>
      <c r="C156" s="2">
        <f t="shared" si="12"/>
        <v>955.33333333333337</v>
      </c>
      <c r="D156" s="2">
        <f t="shared" si="14"/>
        <v>11464</v>
      </c>
      <c r="E156" s="12">
        <f t="shared" si="13"/>
        <v>11500</v>
      </c>
      <c r="F156" s="3">
        <f t="shared" si="15"/>
        <v>36</v>
      </c>
    </row>
    <row r="157" spans="1:6" x14ac:dyDescent="0.3">
      <c r="A157" s="1">
        <v>8300</v>
      </c>
      <c r="B157" s="1">
        <f t="shared" si="16"/>
        <v>11604</v>
      </c>
      <c r="C157" s="2">
        <f t="shared" si="12"/>
        <v>967</v>
      </c>
      <c r="D157" s="2">
        <f t="shared" si="14"/>
        <v>11604</v>
      </c>
      <c r="E157" s="12">
        <f t="shared" si="13"/>
        <v>11600</v>
      </c>
      <c r="F157" s="3">
        <f t="shared" si="15"/>
        <v>-4</v>
      </c>
    </row>
    <row r="158" spans="1:6" x14ac:dyDescent="0.3">
      <c r="A158" s="1">
        <v>8400</v>
      </c>
      <c r="B158" s="1">
        <f t="shared" si="16"/>
        <v>11744</v>
      </c>
      <c r="C158" s="2">
        <f t="shared" si="12"/>
        <v>978.66666666666663</v>
      </c>
      <c r="D158" s="2">
        <f t="shared" si="14"/>
        <v>11744</v>
      </c>
      <c r="E158" s="12">
        <f t="shared" si="13"/>
        <v>11700</v>
      </c>
      <c r="F158" s="3">
        <f t="shared" si="15"/>
        <v>-44</v>
      </c>
    </row>
    <row r="159" spans="1:6" x14ac:dyDescent="0.3">
      <c r="A159" s="1">
        <v>8500</v>
      </c>
      <c r="B159" s="1">
        <f t="shared" si="16"/>
        <v>11884</v>
      </c>
      <c r="C159" s="2">
        <f t="shared" si="12"/>
        <v>990.33333333333337</v>
      </c>
      <c r="D159" s="2">
        <f t="shared" si="14"/>
        <v>11884</v>
      </c>
      <c r="E159" s="12">
        <f t="shared" si="13"/>
        <v>11900</v>
      </c>
      <c r="F159" s="3">
        <f t="shared" si="15"/>
        <v>16</v>
      </c>
    </row>
    <row r="160" spans="1:6" x14ac:dyDescent="0.3">
      <c r="A160" s="1">
        <v>8600</v>
      </c>
      <c r="B160" s="1">
        <f t="shared" si="16"/>
        <v>12023</v>
      </c>
      <c r="C160" s="2">
        <f t="shared" si="12"/>
        <v>1001.9166666666666</v>
      </c>
      <c r="D160" s="2">
        <f t="shared" si="14"/>
        <v>12023</v>
      </c>
      <c r="E160" s="12">
        <f t="shared" si="13"/>
        <v>12000</v>
      </c>
      <c r="F160" s="3">
        <f t="shared" si="15"/>
        <v>-23</v>
      </c>
    </row>
    <row r="161" spans="1:6" x14ac:dyDescent="0.3">
      <c r="A161" s="1">
        <v>8700</v>
      </c>
      <c r="B161" s="1">
        <f t="shared" si="16"/>
        <v>12163</v>
      </c>
      <c r="C161" s="2">
        <f t="shared" si="12"/>
        <v>1013.5833333333334</v>
      </c>
      <c r="D161" s="2">
        <f t="shared" si="14"/>
        <v>12163</v>
      </c>
      <c r="E161" s="12">
        <f t="shared" si="13"/>
        <v>12200</v>
      </c>
      <c r="F161" s="3">
        <f t="shared" si="15"/>
        <v>37</v>
      </c>
    </row>
    <row r="162" spans="1:6" x14ac:dyDescent="0.3">
      <c r="A162" s="1">
        <v>8800</v>
      </c>
      <c r="B162" s="1">
        <f t="shared" si="16"/>
        <v>12303</v>
      </c>
      <c r="C162" s="2">
        <f t="shared" si="12"/>
        <v>1025.25</v>
      </c>
      <c r="D162" s="2">
        <f t="shared" si="14"/>
        <v>12303</v>
      </c>
      <c r="E162" s="12">
        <f t="shared" si="13"/>
        <v>12300</v>
      </c>
      <c r="F162" s="3">
        <f t="shared" si="15"/>
        <v>-3</v>
      </c>
    </row>
    <row r="163" spans="1:6" x14ac:dyDescent="0.3">
      <c r="A163" s="1">
        <v>8900</v>
      </c>
      <c r="B163" s="1">
        <f t="shared" si="16"/>
        <v>12443</v>
      </c>
      <c r="C163" s="2">
        <f t="shared" si="12"/>
        <v>1036.9166666666667</v>
      </c>
      <c r="D163" s="2">
        <f t="shared" si="14"/>
        <v>12443</v>
      </c>
      <c r="E163" s="12">
        <f t="shared" si="13"/>
        <v>12400</v>
      </c>
      <c r="F163" s="3">
        <f t="shared" si="15"/>
        <v>-43</v>
      </c>
    </row>
    <row r="164" spans="1:6" x14ac:dyDescent="0.3">
      <c r="A164" s="1">
        <v>9000</v>
      </c>
      <c r="B164" s="1">
        <f t="shared" si="16"/>
        <v>12583</v>
      </c>
      <c r="C164" s="2">
        <f t="shared" si="12"/>
        <v>1048.5833333333333</v>
      </c>
      <c r="D164" s="2">
        <f t="shared" si="14"/>
        <v>12583</v>
      </c>
      <c r="E164" s="12">
        <f t="shared" si="13"/>
        <v>12600</v>
      </c>
      <c r="F164" s="3">
        <f t="shared" si="15"/>
        <v>17</v>
      </c>
    </row>
    <row r="165" spans="1:6" x14ac:dyDescent="0.3">
      <c r="A165" s="1">
        <v>9100</v>
      </c>
      <c r="B165" s="1">
        <f t="shared" si="16"/>
        <v>12723</v>
      </c>
      <c r="C165" s="2">
        <f t="shared" si="12"/>
        <v>1060.25</v>
      </c>
      <c r="D165" s="2">
        <f t="shared" si="14"/>
        <v>12723</v>
      </c>
      <c r="E165" s="12">
        <f t="shared" si="13"/>
        <v>12700</v>
      </c>
      <c r="F165" s="3">
        <f t="shared" si="15"/>
        <v>-23</v>
      </c>
    </row>
    <row r="166" spans="1:6" x14ac:dyDescent="0.3">
      <c r="A166" s="1">
        <v>9200</v>
      </c>
      <c r="B166" s="1">
        <f t="shared" si="16"/>
        <v>12862</v>
      </c>
      <c r="C166" s="2">
        <f t="shared" si="12"/>
        <v>1071.8333333333333</v>
      </c>
      <c r="D166" s="2">
        <f t="shared" si="14"/>
        <v>12862</v>
      </c>
      <c r="E166" s="12">
        <f t="shared" si="13"/>
        <v>12900</v>
      </c>
      <c r="F166" s="3">
        <f t="shared" si="15"/>
        <v>38</v>
      </c>
    </row>
    <row r="167" spans="1:6" x14ac:dyDescent="0.3">
      <c r="A167" s="1">
        <v>9300</v>
      </c>
      <c r="B167" s="1">
        <f t="shared" si="16"/>
        <v>13002</v>
      </c>
      <c r="C167" s="2">
        <f t="shared" si="12"/>
        <v>1083.5</v>
      </c>
      <c r="D167" s="2">
        <f t="shared" si="14"/>
        <v>13002</v>
      </c>
      <c r="E167" s="12">
        <f t="shared" si="13"/>
        <v>13000</v>
      </c>
      <c r="F167" s="3">
        <f t="shared" si="15"/>
        <v>-2</v>
      </c>
    </row>
    <row r="168" spans="1:6" x14ac:dyDescent="0.3">
      <c r="A168" s="1">
        <v>9400</v>
      </c>
      <c r="B168" s="1">
        <f t="shared" si="16"/>
        <v>13142</v>
      </c>
      <c r="C168" s="2">
        <f t="shared" si="12"/>
        <v>1095.1666666666667</v>
      </c>
      <c r="D168" s="2">
        <f t="shared" si="14"/>
        <v>13142</v>
      </c>
      <c r="E168" s="12">
        <f t="shared" si="13"/>
        <v>13100</v>
      </c>
      <c r="F168" s="3">
        <f t="shared" si="15"/>
        <v>-42</v>
      </c>
    </row>
    <row r="169" spans="1:6" x14ac:dyDescent="0.3">
      <c r="A169" s="1">
        <v>9450</v>
      </c>
      <c r="B169" s="1">
        <f t="shared" si="16"/>
        <v>13212</v>
      </c>
      <c r="C169" s="2">
        <f t="shared" si="12"/>
        <v>1101</v>
      </c>
      <c r="D169" s="2">
        <f t="shared" si="14"/>
        <v>13212</v>
      </c>
      <c r="E169" s="12">
        <f t="shared" si="13"/>
        <v>13200</v>
      </c>
      <c r="F169" s="3">
        <f t="shared" si="15"/>
        <v>-12</v>
      </c>
    </row>
    <row r="170" spans="1:6" x14ac:dyDescent="0.3">
      <c r="A170" s="1">
        <v>9500</v>
      </c>
      <c r="B170" s="1">
        <f t="shared" si="16"/>
        <v>13282</v>
      </c>
      <c r="C170" s="2">
        <f t="shared" si="12"/>
        <v>1106.8333333333333</v>
      </c>
      <c r="D170" s="2">
        <f t="shared" si="14"/>
        <v>13282</v>
      </c>
      <c r="E170" s="12">
        <f t="shared" si="13"/>
        <v>13300</v>
      </c>
      <c r="F170" s="3">
        <f t="shared" si="15"/>
        <v>18</v>
      </c>
    </row>
    <row r="171" spans="1:6" x14ac:dyDescent="0.3">
      <c r="A171" s="1">
        <v>9600</v>
      </c>
      <c r="B171" s="1">
        <f t="shared" si="16"/>
        <v>13422</v>
      </c>
      <c r="C171" s="2">
        <f t="shared" si="12"/>
        <v>1118.5</v>
      </c>
      <c r="D171" s="2">
        <f t="shared" si="14"/>
        <v>13422</v>
      </c>
      <c r="E171" s="12">
        <f t="shared" si="13"/>
        <v>13400</v>
      </c>
      <c r="F171" s="3">
        <f t="shared" si="15"/>
        <v>-22</v>
      </c>
    </row>
    <row r="172" spans="1:6" x14ac:dyDescent="0.3">
      <c r="A172" s="1">
        <v>9700</v>
      </c>
      <c r="B172" s="1">
        <f t="shared" si="16"/>
        <v>13561</v>
      </c>
      <c r="C172" s="2">
        <f t="shared" si="12"/>
        <v>1130.0833333333333</v>
      </c>
      <c r="D172" s="2">
        <f t="shared" si="14"/>
        <v>13561</v>
      </c>
      <c r="E172" s="12">
        <f t="shared" si="13"/>
        <v>13600</v>
      </c>
      <c r="F172" s="3">
        <f t="shared" si="15"/>
        <v>39</v>
      </c>
    </row>
    <row r="173" spans="1:6" x14ac:dyDescent="0.3">
      <c r="A173" s="1">
        <v>9800</v>
      </c>
      <c r="B173" s="1">
        <f t="shared" si="16"/>
        <v>13701</v>
      </c>
      <c r="C173" s="2">
        <f t="shared" si="12"/>
        <v>1141.75</v>
      </c>
      <c r="D173" s="2">
        <f t="shared" si="14"/>
        <v>13701</v>
      </c>
      <c r="E173" s="12">
        <f t="shared" si="13"/>
        <v>13700</v>
      </c>
      <c r="F173" s="3">
        <f t="shared" si="15"/>
        <v>-1</v>
      </c>
    </row>
    <row r="174" spans="1:6" x14ac:dyDescent="0.3">
      <c r="A174" s="1">
        <v>9900</v>
      </c>
      <c r="B174" s="1">
        <f t="shared" si="16"/>
        <v>13841</v>
      </c>
      <c r="C174" s="2">
        <f t="shared" si="12"/>
        <v>1153.4166666666667</v>
      </c>
      <c r="D174" s="2">
        <f t="shared" si="14"/>
        <v>13841</v>
      </c>
      <c r="E174" s="12">
        <f t="shared" si="13"/>
        <v>13800</v>
      </c>
      <c r="F174" s="3">
        <f t="shared" si="15"/>
        <v>-41</v>
      </c>
    </row>
    <row r="175" spans="1:6" x14ac:dyDescent="0.3">
      <c r="A175" s="1">
        <v>10000</v>
      </c>
      <c r="B175" s="1">
        <f t="shared" si="16"/>
        <v>13981</v>
      </c>
      <c r="C175" s="2">
        <f t="shared" si="12"/>
        <v>1165.0833333333333</v>
      </c>
      <c r="D175" s="2">
        <f t="shared" si="14"/>
        <v>13981</v>
      </c>
      <c r="E175" s="12">
        <f t="shared" si="13"/>
        <v>14000</v>
      </c>
      <c r="F175" s="3">
        <f t="shared" si="15"/>
        <v>19</v>
      </c>
    </row>
    <row r="176" spans="1:6" x14ac:dyDescent="0.3">
      <c r="A176" s="1">
        <v>10600</v>
      </c>
      <c r="B176" s="1">
        <f t="shared" si="16"/>
        <v>14820</v>
      </c>
      <c r="C176" s="2">
        <f t="shared" si="12"/>
        <v>1235</v>
      </c>
      <c r="D176" s="2">
        <f t="shared" si="14"/>
        <v>14820</v>
      </c>
      <c r="E176" s="12">
        <f t="shared" si="13"/>
        <v>14800</v>
      </c>
      <c r="F176" s="3">
        <f t="shared" si="15"/>
        <v>-20</v>
      </c>
    </row>
    <row r="177" spans="1:6" x14ac:dyDescent="0.3">
      <c r="A177" s="1">
        <v>10800</v>
      </c>
      <c r="B177" s="1">
        <f t="shared" si="16"/>
        <v>15099</v>
      </c>
      <c r="C177" s="2">
        <f t="shared" si="12"/>
        <v>1258.25</v>
      </c>
      <c r="D177" s="2">
        <f t="shared" si="14"/>
        <v>15099</v>
      </c>
      <c r="E177" s="12">
        <f t="shared" si="13"/>
        <v>15100</v>
      </c>
      <c r="F177" s="3">
        <f t="shared" si="15"/>
        <v>1</v>
      </c>
    </row>
    <row r="178" spans="1:6" x14ac:dyDescent="0.3">
      <c r="A178" s="1">
        <v>11000</v>
      </c>
      <c r="B178" s="1">
        <f t="shared" si="16"/>
        <v>15379</v>
      </c>
      <c r="C178" s="2">
        <f t="shared" si="12"/>
        <v>1281.5833333333333</v>
      </c>
      <c r="D178" s="2">
        <f t="shared" si="14"/>
        <v>15379</v>
      </c>
      <c r="E178" s="12">
        <f t="shared" si="13"/>
        <v>15400</v>
      </c>
      <c r="F178" s="3">
        <f t="shared" si="15"/>
        <v>21</v>
      </c>
    </row>
    <row r="179" spans="1:6" x14ac:dyDescent="0.3">
      <c r="A179" s="1">
        <v>11200</v>
      </c>
      <c r="B179" s="1">
        <f t="shared" si="16"/>
        <v>15658</v>
      </c>
      <c r="C179" s="2">
        <f t="shared" si="12"/>
        <v>1304.8333333333333</v>
      </c>
      <c r="D179" s="2">
        <f t="shared" si="14"/>
        <v>15658</v>
      </c>
      <c r="E179" s="12">
        <f t="shared" si="13"/>
        <v>15700</v>
      </c>
      <c r="F179" s="3">
        <f t="shared" si="15"/>
        <v>42</v>
      </c>
    </row>
    <row r="180" spans="1:6" x14ac:dyDescent="0.3">
      <c r="A180" s="1">
        <v>11300</v>
      </c>
      <c r="B180" s="1">
        <f t="shared" si="16"/>
        <v>15798</v>
      </c>
      <c r="C180" s="2">
        <f t="shared" si="12"/>
        <v>1316.5</v>
      </c>
      <c r="D180" s="2">
        <f t="shared" si="14"/>
        <v>15798</v>
      </c>
      <c r="E180" s="12">
        <f t="shared" si="13"/>
        <v>15800</v>
      </c>
      <c r="F180" s="3">
        <f t="shared" si="15"/>
        <v>2</v>
      </c>
    </row>
    <row r="181" spans="1:6" x14ac:dyDescent="0.3">
      <c r="A181" s="1">
        <v>11500</v>
      </c>
      <c r="B181" s="1">
        <f t="shared" si="16"/>
        <v>16078</v>
      </c>
      <c r="C181" s="2">
        <f t="shared" si="12"/>
        <v>1339.8333333333333</v>
      </c>
      <c r="D181" s="2">
        <f t="shared" si="14"/>
        <v>16078</v>
      </c>
      <c r="E181" s="12">
        <f t="shared" si="13"/>
        <v>16100</v>
      </c>
      <c r="F181" s="3">
        <f t="shared" si="15"/>
        <v>22</v>
      </c>
    </row>
    <row r="182" spans="1:6" x14ac:dyDescent="0.3">
      <c r="A182" s="1">
        <v>11600</v>
      </c>
      <c r="B182" s="1">
        <f t="shared" si="16"/>
        <v>16218</v>
      </c>
      <c r="C182" s="2">
        <f t="shared" ref="C182:C245" si="17">VALUE(B182)/12</f>
        <v>1351.5</v>
      </c>
      <c r="D182" s="2">
        <f t="shared" si="14"/>
        <v>16218</v>
      </c>
      <c r="E182" s="12">
        <f t="shared" si="13"/>
        <v>16200</v>
      </c>
      <c r="F182" s="3">
        <f t="shared" si="15"/>
        <v>-18</v>
      </c>
    </row>
    <row r="183" spans="1:6" x14ac:dyDescent="0.3">
      <c r="A183" s="1">
        <v>11700</v>
      </c>
      <c r="B183" s="1">
        <f t="shared" si="16"/>
        <v>16358</v>
      </c>
      <c r="C183" s="2">
        <f t="shared" si="17"/>
        <v>1363.1666666666667</v>
      </c>
      <c r="D183" s="2">
        <f t="shared" si="14"/>
        <v>16358</v>
      </c>
      <c r="E183" s="12">
        <f t="shared" si="13"/>
        <v>16400</v>
      </c>
      <c r="F183" s="3">
        <f t="shared" si="15"/>
        <v>42</v>
      </c>
    </row>
    <row r="184" spans="1:6" x14ac:dyDescent="0.3">
      <c r="A184" s="1">
        <v>11800</v>
      </c>
      <c r="B184" s="1">
        <f t="shared" si="16"/>
        <v>16497</v>
      </c>
      <c r="C184" s="2">
        <f t="shared" si="17"/>
        <v>1374.75</v>
      </c>
      <c r="D184" s="2">
        <f t="shared" si="14"/>
        <v>16497</v>
      </c>
      <c r="E184" s="12">
        <f t="shared" ref="E184:E247" si="18">IF(D184&lt;1000,D184,ROUND(D184,-2))</f>
        <v>16500</v>
      </c>
      <c r="F184" s="3">
        <f t="shared" si="15"/>
        <v>3</v>
      </c>
    </row>
    <row r="185" spans="1:6" x14ac:dyDescent="0.3">
      <c r="A185" s="1">
        <v>11900</v>
      </c>
      <c r="B185" s="1">
        <f t="shared" si="16"/>
        <v>16637</v>
      </c>
      <c r="C185" s="2">
        <f t="shared" si="17"/>
        <v>1386.4166666666667</v>
      </c>
      <c r="D185" s="2">
        <f t="shared" si="14"/>
        <v>16637</v>
      </c>
      <c r="E185" s="12">
        <f t="shared" si="18"/>
        <v>16600</v>
      </c>
      <c r="F185" s="3">
        <f t="shared" si="15"/>
        <v>-37</v>
      </c>
    </row>
    <row r="186" spans="1:6" x14ac:dyDescent="0.3">
      <c r="A186" s="1">
        <v>12000</v>
      </c>
      <c r="B186" s="1">
        <f t="shared" si="16"/>
        <v>16777</v>
      </c>
      <c r="C186" s="2">
        <f t="shared" si="17"/>
        <v>1398.0833333333333</v>
      </c>
      <c r="D186" s="2">
        <f t="shared" si="14"/>
        <v>16777</v>
      </c>
      <c r="E186" s="12">
        <f t="shared" si="18"/>
        <v>16800</v>
      </c>
      <c r="F186" s="3">
        <f t="shared" si="15"/>
        <v>23</v>
      </c>
    </row>
    <row r="187" spans="1:6" x14ac:dyDescent="0.3">
      <c r="A187" s="1">
        <v>12100</v>
      </c>
      <c r="B187" s="1">
        <f t="shared" si="16"/>
        <v>16917</v>
      </c>
      <c r="C187" s="2">
        <f t="shared" si="17"/>
        <v>1409.75</v>
      </c>
      <c r="D187" s="2">
        <f t="shared" ref="D187:D227" si="19">B187</f>
        <v>16917</v>
      </c>
      <c r="E187" s="12">
        <f t="shared" si="18"/>
        <v>16900</v>
      </c>
      <c r="F187" s="3">
        <f t="shared" ref="F187:F227" si="20">E187-D187</f>
        <v>-17</v>
      </c>
    </row>
    <row r="188" spans="1:6" x14ac:dyDescent="0.3">
      <c r="A188" s="1">
        <v>12200</v>
      </c>
      <c r="B188" s="1">
        <f t="shared" si="16"/>
        <v>17057</v>
      </c>
      <c r="C188" s="2">
        <f t="shared" si="17"/>
        <v>1421.4166666666667</v>
      </c>
      <c r="D188" s="2">
        <f t="shared" si="19"/>
        <v>17057</v>
      </c>
      <c r="E188" s="12">
        <f t="shared" si="18"/>
        <v>17100</v>
      </c>
      <c r="F188" s="3">
        <f t="shared" si="20"/>
        <v>43</v>
      </c>
    </row>
    <row r="189" spans="1:6" x14ac:dyDescent="0.3">
      <c r="A189" s="1">
        <v>12300</v>
      </c>
      <c r="B189" s="1">
        <f t="shared" si="16"/>
        <v>17196</v>
      </c>
      <c r="C189" s="2">
        <f t="shared" si="17"/>
        <v>1433</v>
      </c>
      <c r="D189" s="2">
        <f t="shared" si="19"/>
        <v>17196</v>
      </c>
      <c r="E189" s="12">
        <f t="shared" si="18"/>
        <v>17200</v>
      </c>
      <c r="F189" s="3">
        <f t="shared" si="20"/>
        <v>4</v>
      </c>
    </row>
    <row r="190" spans="1:6" x14ac:dyDescent="0.3">
      <c r="A190" s="1">
        <v>12400</v>
      </c>
      <c r="B190" s="1">
        <f t="shared" si="16"/>
        <v>17336</v>
      </c>
      <c r="C190" s="2">
        <f t="shared" si="17"/>
        <v>1444.6666666666667</v>
      </c>
      <c r="D190" s="2">
        <f t="shared" si="19"/>
        <v>17336</v>
      </c>
      <c r="E190" s="12">
        <f t="shared" si="18"/>
        <v>17300</v>
      </c>
      <c r="F190" s="3">
        <f t="shared" si="20"/>
        <v>-36</v>
      </c>
    </row>
    <row r="191" spans="1:6" x14ac:dyDescent="0.3">
      <c r="A191" s="1">
        <v>12500</v>
      </c>
      <c r="B191" s="1">
        <f t="shared" si="16"/>
        <v>17476</v>
      </c>
      <c r="C191" s="2">
        <f t="shared" si="17"/>
        <v>1456.3333333333333</v>
      </c>
      <c r="D191" s="2">
        <f t="shared" si="19"/>
        <v>17476</v>
      </c>
      <c r="E191" s="12">
        <f t="shared" si="18"/>
        <v>17500</v>
      </c>
      <c r="F191" s="3">
        <f t="shared" si="20"/>
        <v>24</v>
      </c>
    </row>
    <row r="192" spans="1:6" x14ac:dyDescent="0.3">
      <c r="A192" s="1">
        <v>12600</v>
      </c>
      <c r="B192" s="1">
        <f t="shared" si="16"/>
        <v>17616</v>
      </c>
      <c r="C192" s="2">
        <f t="shared" si="17"/>
        <v>1468</v>
      </c>
      <c r="D192" s="2">
        <f t="shared" si="19"/>
        <v>17616</v>
      </c>
      <c r="E192" s="12">
        <f t="shared" si="18"/>
        <v>17600</v>
      </c>
      <c r="F192" s="3">
        <f t="shared" si="20"/>
        <v>-16</v>
      </c>
    </row>
    <row r="193" spans="1:6" x14ac:dyDescent="0.3">
      <c r="A193" s="1">
        <v>12700</v>
      </c>
      <c r="B193" s="1">
        <f t="shared" ref="B193:B256" si="21">IF(A193&lt;1000,$B$1*A193,ROUND($B$1*A193,0))</f>
        <v>17756</v>
      </c>
      <c r="C193" s="2">
        <f t="shared" si="17"/>
        <v>1479.6666666666667</v>
      </c>
      <c r="D193" s="2">
        <f t="shared" si="19"/>
        <v>17756</v>
      </c>
      <c r="E193" s="12">
        <f t="shared" si="18"/>
        <v>17800</v>
      </c>
      <c r="F193" s="3">
        <f t="shared" si="20"/>
        <v>44</v>
      </c>
    </row>
    <row r="194" spans="1:6" x14ac:dyDescent="0.3">
      <c r="A194" s="1">
        <v>12800</v>
      </c>
      <c r="B194" s="1">
        <f t="shared" si="21"/>
        <v>17895</v>
      </c>
      <c r="C194" s="2">
        <f t="shared" si="17"/>
        <v>1491.25</v>
      </c>
      <c r="D194" s="2">
        <f t="shared" si="19"/>
        <v>17895</v>
      </c>
      <c r="E194" s="12">
        <f t="shared" si="18"/>
        <v>17900</v>
      </c>
      <c r="F194" s="3">
        <f t="shared" si="20"/>
        <v>5</v>
      </c>
    </row>
    <row r="195" spans="1:6" x14ac:dyDescent="0.3">
      <c r="A195" s="1">
        <v>12900</v>
      </c>
      <c r="B195" s="1">
        <f t="shared" si="21"/>
        <v>18035</v>
      </c>
      <c r="C195" s="2">
        <f t="shared" si="17"/>
        <v>1502.9166666666667</v>
      </c>
      <c r="D195" s="2">
        <f t="shared" si="19"/>
        <v>18035</v>
      </c>
      <c r="E195" s="12">
        <f t="shared" si="18"/>
        <v>18000</v>
      </c>
      <c r="F195" s="3">
        <f t="shared" si="20"/>
        <v>-35</v>
      </c>
    </row>
    <row r="196" spans="1:6" x14ac:dyDescent="0.3">
      <c r="A196" s="1">
        <v>13000</v>
      </c>
      <c r="B196" s="1">
        <f t="shared" si="21"/>
        <v>18175</v>
      </c>
      <c r="C196" s="2">
        <f t="shared" si="17"/>
        <v>1514.5833333333333</v>
      </c>
      <c r="D196" s="2">
        <f t="shared" si="19"/>
        <v>18175</v>
      </c>
      <c r="E196" s="12">
        <f t="shared" si="18"/>
        <v>18200</v>
      </c>
      <c r="F196" s="3">
        <f t="shared" si="20"/>
        <v>25</v>
      </c>
    </row>
    <row r="197" spans="1:6" x14ac:dyDescent="0.3">
      <c r="A197" s="1">
        <v>13200</v>
      </c>
      <c r="B197" s="1">
        <f t="shared" si="21"/>
        <v>18455</v>
      </c>
      <c r="C197" s="2">
        <f t="shared" si="17"/>
        <v>1537.9166666666667</v>
      </c>
      <c r="D197" s="2">
        <f t="shared" si="19"/>
        <v>18455</v>
      </c>
      <c r="E197" s="12">
        <f t="shared" si="18"/>
        <v>18500</v>
      </c>
      <c r="F197" s="3">
        <f t="shared" si="20"/>
        <v>45</v>
      </c>
    </row>
    <row r="198" spans="1:6" x14ac:dyDescent="0.3">
      <c r="A198" s="1">
        <v>13400</v>
      </c>
      <c r="B198" s="1">
        <f t="shared" si="21"/>
        <v>18734</v>
      </c>
      <c r="C198" s="2">
        <f t="shared" si="17"/>
        <v>1561.1666666666667</v>
      </c>
      <c r="D198" s="2">
        <f t="shared" si="19"/>
        <v>18734</v>
      </c>
      <c r="E198" s="12">
        <f t="shared" si="18"/>
        <v>18700</v>
      </c>
      <c r="F198" s="3">
        <f t="shared" si="20"/>
        <v>-34</v>
      </c>
    </row>
    <row r="199" spans="1:6" x14ac:dyDescent="0.3">
      <c r="A199" s="1">
        <v>13500</v>
      </c>
      <c r="B199" s="1">
        <f t="shared" si="21"/>
        <v>18874</v>
      </c>
      <c r="C199" s="2">
        <f t="shared" si="17"/>
        <v>1572.8333333333333</v>
      </c>
      <c r="D199" s="2">
        <f t="shared" si="19"/>
        <v>18874</v>
      </c>
      <c r="E199" s="12">
        <f t="shared" si="18"/>
        <v>18900</v>
      </c>
      <c r="F199" s="3">
        <f t="shared" si="20"/>
        <v>26</v>
      </c>
    </row>
    <row r="200" spans="1:6" x14ac:dyDescent="0.3">
      <c r="A200" s="1">
        <v>13700</v>
      </c>
      <c r="B200" s="1">
        <f t="shared" si="21"/>
        <v>19154</v>
      </c>
      <c r="C200" s="2">
        <f t="shared" si="17"/>
        <v>1596.1666666666667</v>
      </c>
      <c r="D200" s="2">
        <f t="shared" si="19"/>
        <v>19154</v>
      </c>
      <c r="E200" s="12">
        <f t="shared" si="18"/>
        <v>19200</v>
      </c>
      <c r="F200" s="3">
        <f t="shared" si="20"/>
        <v>46</v>
      </c>
    </row>
    <row r="201" spans="1:6" x14ac:dyDescent="0.3">
      <c r="A201" s="1">
        <v>14000</v>
      </c>
      <c r="B201" s="1">
        <f t="shared" si="21"/>
        <v>19573</v>
      </c>
      <c r="C201" s="2">
        <f t="shared" si="17"/>
        <v>1631.0833333333333</v>
      </c>
      <c r="D201" s="2">
        <f t="shared" si="19"/>
        <v>19573</v>
      </c>
      <c r="E201" s="12">
        <f t="shared" si="18"/>
        <v>19600</v>
      </c>
      <c r="F201" s="3">
        <f t="shared" si="20"/>
        <v>27</v>
      </c>
    </row>
    <row r="202" spans="1:6" x14ac:dyDescent="0.3">
      <c r="A202" s="1">
        <v>14300</v>
      </c>
      <c r="B202" s="1">
        <f t="shared" si="21"/>
        <v>19993</v>
      </c>
      <c r="C202" s="2">
        <f t="shared" si="17"/>
        <v>1666.0833333333333</v>
      </c>
      <c r="D202" s="2">
        <f t="shared" si="19"/>
        <v>19993</v>
      </c>
      <c r="E202" s="12">
        <f t="shared" si="18"/>
        <v>20000</v>
      </c>
      <c r="F202" s="3">
        <f t="shared" si="20"/>
        <v>7</v>
      </c>
    </row>
    <row r="203" spans="1:6" x14ac:dyDescent="0.3">
      <c r="A203" s="1">
        <v>14500</v>
      </c>
      <c r="B203" s="1">
        <f t="shared" si="21"/>
        <v>20272</v>
      </c>
      <c r="C203" s="2">
        <f t="shared" si="17"/>
        <v>1689.3333333333333</v>
      </c>
      <c r="D203" s="2">
        <f t="shared" si="19"/>
        <v>20272</v>
      </c>
      <c r="E203" s="12">
        <f t="shared" si="18"/>
        <v>20300</v>
      </c>
      <c r="F203" s="3">
        <f t="shared" si="20"/>
        <v>28</v>
      </c>
    </row>
    <row r="204" spans="1:6" x14ac:dyDescent="0.3">
      <c r="A204" s="1">
        <v>14700</v>
      </c>
      <c r="B204" s="1">
        <f t="shared" si="21"/>
        <v>20552</v>
      </c>
      <c r="C204" s="2">
        <f t="shared" si="17"/>
        <v>1712.6666666666667</v>
      </c>
      <c r="D204" s="2">
        <f t="shared" si="19"/>
        <v>20552</v>
      </c>
      <c r="E204" s="12">
        <f t="shared" si="18"/>
        <v>20600</v>
      </c>
      <c r="F204" s="3">
        <f t="shared" si="20"/>
        <v>48</v>
      </c>
    </row>
    <row r="205" spans="1:6" x14ac:dyDescent="0.3">
      <c r="A205" s="1">
        <v>14800</v>
      </c>
      <c r="B205" s="1">
        <f t="shared" si="21"/>
        <v>20692</v>
      </c>
      <c r="C205" s="2">
        <f t="shared" si="17"/>
        <v>1724.3333333333333</v>
      </c>
      <c r="D205" s="2">
        <f t="shared" si="19"/>
        <v>20692</v>
      </c>
      <c r="E205" s="12">
        <f t="shared" si="18"/>
        <v>20700</v>
      </c>
      <c r="F205" s="3">
        <f t="shared" si="20"/>
        <v>8</v>
      </c>
    </row>
    <row r="206" spans="1:6" x14ac:dyDescent="0.3">
      <c r="A206" s="1">
        <v>14900</v>
      </c>
      <c r="B206" s="1">
        <f t="shared" si="21"/>
        <v>20831</v>
      </c>
      <c r="C206" s="2">
        <f t="shared" si="17"/>
        <v>1735.9166666666667</v>
      </c>
      <c r="D206" s="2">
        <f t="shared" si="19"/>
        <v>20831</v>
      </c>
      <c r="E206" s="12">
        <f t="shared" si="18"/>
        <v>20800</v>
      </c>
      <c r="F206" s="3">
        <f t="shared" si="20"/>
        <v>-31</v>
      </c>
    </row>
    <row r="207" spans="1:6" x14ac:dyDescent="0.3">
      <c r="A207" s="1">
        <v>15000</v>
      </c>
      <c r="B207" s="1">
        <f t="shared" si="21"/>
        <v>20971</v>
      </c>
      <c r="C207" s="2">
        <f t="shared" si="17"/>
        <v>1747.5833333333333</v>
      </c>
      <c r="D207" s="2">
        <f t="shared" si="19"/>
        <v>20971</v>
      </c>
      <c r="E207" s="12">
        <f t="shared" si="18"/>
        <v>21000</v>
      </c>
      <c r="F207" s="3">
        <f t="shared" si="20"/>
        <v>29</v>
      </c>
    </row>
    <row r="208" spans="1:6" x14ac:dyDescent="0.3">
      <c r="A208" s="1">
        <v>15100</v>
      </c>
      <c r="B208" s="1">
        <f t="shared" si="21"/>
        <v>21111</v>
      </c>
      <c r="C208" s="2">
        <f t="shared" si="17"/>
        <v>1759.25</v>
      </c>
      <c r="D208" s="2">
        <f t="shared" si="19"/>
        <v>21111</v>
      </c>
      <c r="E208" s="12">
        <f t="shared" si="18"/>
        <v>21100</v>
      </c>
      <c r="F208" s="3">
        <f t="shared" si="20"/>
        <v>-11</v>
      </c>
    </row>
    <row r="209" spans="1:6" x14ac:dyDescent="0.3">
      <c r="A209" s="1">
        <v>15200</v>
      </c>
      <c r="B209" s="1">
        <f t="shared" si="21"/>
        <v>21251</v>
      </c>
      <c r="C209" s="2">
        <f t="shared" si="17"/>
        <v>1770.9166666666667</v>
      </c>
      <c r="D209" s="2">
        <f t="shared" si="19"/>
        <v>21251</v>
      </c>
      <c r="E209" s="12">
        <f t="shared" si="18"/>
        <v>21300</v>
      </c>
      <c r="F209" s="3">
        <f t="shared" si="20"/>
        <v>49</v>
      </c>
    </row>
    <row r="210" spans="1:6" x14ac:dyDescent="0.3">
      <c r="A210" s="1">
        <v>15500</v>
      </c>
      <c r="B210" s="1">
        <f t="shared" si="21"/>
        <v>21670</v>
      </c>
      <c r="C210" s="2">
        <f t="shared" si="17"/>
        <v>1805.8333333333333</v>
      </c>
      <c r="D210" s="2">
        <f t="shared" si="19"/>
        <v>21670</v>
      </c>
      <c r="E210" s="12">
        <f t="shared" si="18"/>
        <v>21700</v>
      </c>
      <c r="F210" s="3">
        <f t="shared" si="20"/>
        <v>30</v>
      </c>
    </row>
    <row r="211" spans="1:6" x14ac:dyDescent="0.3">
      <c r="A211" s="1">
        <v>15700</v>
      </c>
      <c r="B211" s="1">
        <f t="shared" si="21"/>
        <v>21950</v>
      </c>
      <c r="C211" s="2">
        <f t="shared" si="17"/>
        <v>1829.1666666666667</v>
      </c>
      <c r="D211" s="2">
        <f t="shared" si="19"/>
        <v>21950</v>
      </c>
      <c r="E211" s="12">
        <f t="shared" si="18"/>
        <v>22000</v>
      </c>
      <c r="F211" s="3">
        <f t="shared" si="20"/>
        <v>50</v>
      </c>
    </row>
    <row r="212" spans="1:6" x14ac:dyDescent="0.3">
      <c r="A212" s="1">
        <v>15900</v>
      </c>
      <c r="B212" s="1">
        <f t="shared" si="21"/>
        <v>22229</v>
      </c>
      <c r="C212" s="2">
        <f t="shared" si="17"/>
        <v>1852.4166666666667</v>
      </c>
      <c r="D212" s="2">
        <f t="shared" si="19"/>
        <v>22229</v>
      </c>
      <c r="E212" s="12">
        <f t="shared" si="18"/>
        <v>22200</v>
      </c>
      <c r="F212" s="3">
        <f t="shared" si="20"/>
        <v>-29</v>
      </c>
    </row>
    <row r="213" spans="1:6" x14ac:dyDescent="0.3">
      <c r="A213" s="1">
        <v>16000</v>
      </c>
      <c r="B213" s="1">
        <f t="shared" si="21"/>
        <v>22369</v>
      </c>
      <c r="C213" s="2">
        <f t="shared" si="17"/>
        <v>1864.0833333333333</v>
      </c>
      <c r="D213" s="2">
        <f t="shared" si="19"/>
        <v>22369</v>
      </c>
      <c r="E213" s="12">
        <f t="shared" si="18"/>
        <v>22400</v>
      </c>
      <c r="F213" s="3">
        <f t="shared" si="20"/>
        <v>31</v>
      </c>
    </row>
    <row r="214" spans="1:6" x14ac:dyDescent="0.3">
      <c r="A214" s="1">
        <v>16100</v>
      </c>
      <c r="B214" s="1">
        <f t="shared" si="21"/>
        <v>22509</v>
      </c>
      <c r="C214" s="2">
        <f t="shared" si="17"/>
        <v>1875.75</v>
      </c>
      <c r="D214" s="2">
        <f t="shared" si="19"/>
        <v>22509</v>
      </c>
      <c r="E214" s="12">
        <f t="shared" si="18"/>
        <v>22500</v>
      </c>
      <c r="F214" s="3">
        <f t="shared" si="20"/>
        <v>-9</v>
      </c>
    </row>
    <row r="215" spans="1:6" x14ac:dyDescent="0.3">
      <c r="A215" s="1">
        <v>16200</v>
      </c>
      <c r="B215" s="1">
        <f t="shared" si="21"/>
        <v>22649</v>
      </c>
      <c r="C215" s="2">
        <f t="shared" si="17"/>
        <v>1887.4166666666667</v>
      </c>
      <c r="D215" s="2">
        <f t="shared" si="19"/>
        <v>22649</v>
      </c>
      <c r="E215" s="12">
        <f t="shared" si="18"/>
        <v>22600</v>
      </c>
      <c r="F215" s="3">
        <f t="shared" si="20"/>
        <v>-49</v>
      </c>
    </row>
    <row r="216" spans="1:6" x14ac:dyDescent="0.3">
      <c r="A216" s="1">
        <v>16700</v>
      </c>
      <c r="B216" s="1">
        <f t="shared" si="21"/>
        <v>23348</v>
      </c>
      <c r="C216" s="2">
        <f t="shared" si="17"/>
        <v>1945.6666666666667</v>
      </c>
      <c r="D216" s="2">
        <f t="shared" si="19"/>
        <v>23348</v>
      </c>
      <c r="E216" s="12">
        <f t="shared" si="18"/>
        <v>23300</v>
      </c>
      <c r="F216" s="3">
        <f t="shared" si="20"/>
        <v>-48</v>
      </c>
    </row>
    <row r="217" spans="1:6" x14ac:dyDescent="0.3">
      <c r="A217" s="1">
        <v>16800</v>
      </c>
      <c r="B217" s="1">
        <f t="shared" si="21"/>
        <v>23488</v>
      </c>
      <c r="C217" s="2">
        <f t="shared" si="17"/>
        <v>1957.3333333333333</v>
      </c>
      <c r="D217" s="2">
        <f t="shared" si="19"/>
        <v>23488</v>
      </c>
      <c r="E217" s="12">
        <f t="shared" si="18"/>
        <v>23500</v>
      </c>
      <c r="F217" s="3">
        <f t="shared" si="20"/>
        <v>12</v>
      </c>
    </row>
    <row r="218" spans="1:6" x14ac:dyDescent="0.3">
      <c r="A218" s="1">
        <v>16900</v>
      </c>
      <c r="B218" s="1">
        <f t="shared" si="21"/>
        <v>23628</v>
      </c>
      <c r="C218" s="2">
        <f t="shared" si="17"/>
        <v>1969</v>
      </c>
      <c r="D218" s="2">
        <f t="shared" si="19"/>
        <v>23628</v>
      </c>
      <c r="E218" s="12">
        <f t="shared" si="18"/>
        <v>23600</v>
      </c>
      <c r="F218" s="3">
        <f t="shared" si="20"/>
        <v>-28</v>
      </c>
    </row>
    <row r="219" spans="1:6" x14ac:dyDescent="0.3">
      <c r="A219" s="1">
        <v>17000</v>
      </c>
      <c r="B219" s="1">
        <f t="shared" si="21"/>
        <v>23767</v>
      </c>
      <c r="C219" s="2">
        <f t="shared" si="17"/>
        <v>1980.5833333333333</v>
      </c>
      <c r="D219" s="2">
        <f t="shared" si="19"/>
        <v>23767</v>
      </c>
      <c r="E219" s="12">
        <f t="shared" si="18"/>
        <v>23800</v>
      </c>
      <c r="F219" s="3">
        <f t="shared" si="20"/>
        <v>33</v>
      </c>
    </row>
    <row r="220" spans="1:6" x14ac:dyDescent="0.3">
      <c r="A220" s="1">
        <v>17100</v>
      </c>
      <c r="B220" s="1">
        <f t="shared" si="21"/>
        <v>23907</v>
      </c>
      <c r="C220" s="2">
        <f t="shared" si="17"/>
        <v>1992.25</v>
      </c>
      <c r="D220" s="2">
        <f t="shared" si="19"/>
        <v>23907</v>
      </c>
      <c r="E220" s="12">
        <f t="shared" si="18"/>
        <v>23900</v>
      </c>
      <c r="F220" s="3">
        <f t="shared" si="20"/>
        <v>-7</v>
      </c>
    </row>
    <row r="221" spans="1:6" x14ac:dyDescent="0.3">
      <c r="A221" s="1">
        <v>17600</v>
      </c>
      <c r="B221" s="1">
        <f t="shared" si="21"/>
        <v>24606</v>
      </c>
      <c r="C221" s="2">
        <f t="shared" si="17"/>
        <v>2050.5</v>
      </c>
      <c r="D221" s="2">
        <f t="shared" si="19"/>
        <v>24606</v>
      </c>
      <c r="E221" s="12">
        <f t="shared" si="18"/>
        <v>24600</v>
      </c>
      <c r="F221" s="3">
        <f t="shared" si="20"/>
        <v>-6</v>
      </c>
    </row>
    <row r="222" spans="1:6" x14ac:dyDescent="0.3">
      <c r="A222" s="1">
        <v>17700</v>
      </c>
      <c r="B222" s="1">
        <f t="shared" si="21"/>
        <v>24746</v>
      </c>
      <c r="C222" s="2">
        <f t="shared" si="17"/>
        <v>2062.1666666666665</v>
      </c>
      <c r="D222" s="2">
        <f t="shared" si="19"/>
        <v>24746</v>
      </c>
      <c r="E222" s="12">
        <f t="shared" si="18"/>
        <v>24700</v>
      </c>
      <c r="F222" s="3">
        <f t="shared" si="20"/>
        <v>-46</v>
      </c>
    </row>
    <row r="223" spans="1:6" x14ac:dyDescent="0.3">
      <c r="A223" s="1">
        <v>18000</v>
      </c>
      <c r="B223" s="1">
        <f t="shared" si="21"/>
        <v>25165</v>
      </c>
      <c r="C223" s="2">
        <f t="shared" si="17"/>
        <v>2097.0833333333335</v>
      </c>
      <c r="D223" s="2">
        <f t="shared" si="19"/>
        <v>25165</v>
      </c>
      <c r="E223" s="12">
        <f t="shared" si="18"/>
        <v>25200</v>
      </c>
      <c r="F223" s="3">
        <f t="shared" si="20"/>
        <v>35</v>
      </c>
    </row>
    <row r="224" spans="1:6" x14ac:dyDescent="0.3">
      <c r="A224" s="1">
        <v>18200</v>
      </c>
      <c r="B224" s="1">
        <f t="shared" si="21"/>
        <v>25445</v>
      </c>
      <c r="C224" s="2">
        <f t="shared" si="17"/>
        <v>2120.4166666666665</v>
      </c>
      <c r="D224" s="2">
        <f t="shared" si="19"/>
        <v>25445</v>
      </c>
      <c r="E224" s="12">
        <f t="shared" si="18"/>
        <v>25400</v>
      </c>
      <c r="F224" s="3">
        <f t="shared" si="20"/>
        <v>-45</v>
      </c>
    </row>
    <row r="225" spans="1:6" x14ac:dyDescent="0.3">
      <c r="A225" s="1">
        <v>18300</v>
      </c>
      <c r="B225" s="1">
        <f t="shared" si="21"/>
        <v>25585</v>
      </c>
      <c r="C225" s="2">
        <f t="shared" si="17"/>
        <v>2132.0833333333335</v>
      </c>
      <c r="D225" s="2">
        <f t="shared" si="19"/>
        <v>25585</v>
      </c>
      <c r="E225" s="12">
        <f t="shared" si="18"/>
        <v>25600</v>
      </c>
      <c r="F225" s="3">
        <f t="shared" si="20"/>
        <v>15</v>
      </c>
    </row>
    <row r="226" spans="1:6" x14ac:dyDescent="0.3">
      <c r="A226" s="1">
        <v>18600</v>
      </c>
      <c r="B226" s="1">
        <f t="shared" si="21"/>
        <v>26004</v>
      </c>
      <c r="C226" s="2">
        <f t="shared" si="17"/>
        <v>2167</v>
      </c>
      <c r="D226" s="2">
        <f t="shared" si="19"/>
        <v>26004</v>
      </c>
      <c r="E226" s="12">
        <f t="shared" si="18"/>
        <v>26000</v>
      </c>
      <c r="F226" s="3">
        <f t="shared" si="20"/>
        <v>-4</v>
      </c>
    </row>
    <row r="227" spans="1:6" x14ac:dyDescent="0.3">
      <c r="A227" s="1">
        <v>18700</v>
      </c>
      <c r="B227" s="1">
        <f t="shared" si="21"/>
        <v>26144</v>
      </c>
      <c r="C227" s="2">
        <f t="shared" si="17"/>
        <v>2178.6666666666665</v>
      </c>
      <c r="D227" s="2">
        <f t="shared" si="19"/>
        <v>26144</v>
      </c>
      <c r="E227" s="12">
        <f t="shared" si="18"/>
        <v>26100</v>
      </c>
      <c r="F227" s="3">
        <f t="shared" si="20"/>
        <v>-44</v>
      </c>
    </row>
    <row r="228" spans="1:6" x14ac:dyDescent="0.3">
      <c r="A228" s="1">
        <v>18800</v>
      </c>
      <c r="B228" s="1">
        <f t="shared" si="21"/>
        <v>26284</v>
      </c>
      <c r="C228" s="2">
        <f t="shared" si="17"/>
        <v>2190.3333333333335</v>
      </c>
      <c r="D228" s="2">
        <f t="shared" ref="D228:D291" si="22">B228</f>
        <v>26284</v>
      </c>
      <c r="E228" s="12">
        <f t="shared" si="18"/>
        <v>26300</v>
      </c>
      <c r="F228" s="3">
        <f t="shared" ref="F228:F291" si="23">E228-D228</f>
        <v>16</v>
      </c>
    </row>
    <row r="229" spans="1:6" x14ac:dyDescent="0.3">
      <c r="A229" s="1">
        <v>18900</v>
      </c>
      <c r="B229" s="1">
        <f t="shared" si="21"/>
        <v>26424</v>
      </c>
      <c r="C229" s="2">
        <f t="shared" si="17"/>
        <v>2202</v>
      </c>
      <c r="D229" s="2">
        <f t="shared" si="22"/>
        <v>26424</v>
      </c>
      <c r="E229" s="12">
        <f t="shared" si="18"/>
        <v>26400</v>
      </c>
      <c r="F229" s="3">
        <f t="shared" si="23"/>
        <v>-24</v>
      </c>
    </row>
    <row r="230" spans="1:6" x14ac:dyDescent="0.3">
      <c r="A230" s="1">
        <v>19000</v>
      </c>
      <c r="B230" s="1">
        <f t="shared" si="21"/>
        <v>26564</v>
      </c>
      <c r="C230" s="2">
        <f t="shared" si="17"/>
        <v>2213.6666666666665</v>
      </c>
      <c r="D230" s="2">
        <f t="shared" si="22"/>
        <v>26564</v>
      </c>
      <c r="E230" s="12">
        <f t="shared" si="18"/>
        <v>26600</v>
      </c>
      <c r="F230" s="3">
        <f t="shared" si="23"/>
        <v>36</v>
      </c>
    </row>
    <row r="231" spans="1:6" x14ac:dyDescent="0.3">
      <c r="A231" s="1">
        <v>19100</v>
      </c>
      <c r="B231" s="1">
        <f t="shared" si="21"/>
        <v>26703</v>
      </c>
      <c r="C231" s="2">
        <f t="shared" si="17"/>
        <v>2225.25</v>
      </c>
      <c r="D231" s="2">
        <f t="shared" si="22"/>
        <v>26703</v>
      </c>
      <c r="E231" s="12">
        <f t="shared" si="18"/>
        <v>26700</v>
      </c>
      <c r="F231" s="3">
        <f t="shared" si="23"/>
        <v>-3</v>
      </c>
    </row>
    <row r="232" spans="1:6" x14ac:dyDescent="0.3">
      <c r="A232" s="1">
        <v>19400</v>
      </c>
      <c r="B232" s="1">
        <f t="shared" si="21"/>
        <v>27123</v>
      </c>
      <c r="C232" s="2">
        <f t="shared" si="17"/>
        <v>2260.25</v>
      </c>
      <c r="D232" s="2">
        <f t="shared" si="22"/>
        <v>27123</v>
      </c>
      <c r="E232" s="12">
        <f t="shared" si="18"/>
        <v>27100</v>
      </c>
      <c r="F232" s="3">
        <f t="shared" si="23"/>
        <v>-23</v>
      </c>
    </row>
    <row r="233" spans="1:6" x14ac:dyDescent="0.3">
      <c r="A233" s="1">
        <v>19500</v>
      </c>
      <c r="B233" s="1">
        <f t="shared" si="21"/>
        <v>27263</v>
      </c>
      <c r="C233" s="2">
        <f t="shared" si="17"/>
        <v>2271.9166666666665</v>
      </c>
      <c r="D233" s="2">
        <f t="shared" si="22"/>
        <v>27263</v>
      </c>
      <c r="E233" s="12">
        <f t="shared" si="18"/>
        <v>27300</v>
      </c>
      <c r="F233" s="3">
        <f t="shared" si="23"/>
        <v>37</v>
      </c>
    </row>
    <row r="234" spans="1:6" x14ac:dyDescent="0.3">
      <c r="A234" s="1">
        <v>19600</v>
      </c>
      <c r="B234" s="1">
        <f t="shared" si="21"/>
        <v>27402</v>
      </c>
      <c r="C234" s="2">
        <f t="shared" si="17"/>
        <v>2283.5</v>
      </c>
      <c r="D234" s="2">
        <f t="shared" si="22"/>
        <v>27402</v>
      </c>
      <c r="E234" s="12">
        <f t="shared" si="18"/>
        <v>27400</v>
      </c>
      <c r="F234" s="3">
        <f t="shared" si="23"/>
        <v>-2</v>
      </c>
    </row>
    <row r="235" spans="1:6" x14ac:dyDescent="0.3">
      <c r="A235" s="1">
        <v>19700</v>
      </c>
      <c r="B235" s="1">
        <f t="shared" si="21"/>
        <v>27542</v>
      </c>
      <c r="C235" s="2">
        <f t="shared" si="17"/>
        <v>2295.1666666666665</v>
      </c>
      <c r="D235" s="2">
        <f t="shared" si="22"/>
        <v>27542</v>
      </c>
      <c r="E235" s="12">
        <f t="shared" si="18"/>
        <v>27500</v>
      </c>
      <c r="F235" s="3">
        <f t="shared" si="23"/>
        <v>-42</v>
      </c>
    </row>
    <row r="236" spans="1:6" x14ac:dyDescent="0.3">
      <c r="A236" s="1">
        <v>20000</v>
      </c>
      <c r="B236" s="1">
        <f t="shared" si="21"/>
        <v>27962</v>
      </c>
      <c r="C236" s="2">
        <f t="shared" si="17"/>
        <v>2330.1666666666665</v>
      </c>
      <c r="D236" s="2">
        <f t="shared" si="22"/>
        <v>27962</v>
      </c>
      <c r="E236" s="12">
        <f t="shared" si="18"/>
        <v>28000</v>
      </c>
      <c r="F236" s="3">
        <f t="shared" si="23"/>
        <v>38</v>
      </c>
    </row>
    <row r="237" spans="1:6" x14ac:dyDescent="0.3">
      <c r="A237" s="1">
        <v>20300</v>
      </c>
      <c r="B237" s="1">
        <f t="shared" si="21"/>
        <v>28381</v>
      </c>
      <c r="C237" s="2">
        <f t="shared" si="17"/>
        <v>2365.0833333333335</v>
      </c>
      <c r="D237" s="2">
        <f t="shared" si="22"/>
        <v>28381</v>
      </c>
      <c r="E237" s="12">
        <f t="shared" si="18"/>
        <v>28400</v>
      </c>
      <c r="F237" s="3">
        <f t="shared" si="23"/>
        <v>19</v>
      </c>
    </row>
    <row r="238" spans="1:6" x14ac:dyDescent="0.3">
      <c r="A238" s="1">
        <v>20400</v>
      </c>
      <c r="B238" s="1">
        <f t="shared" si="21"/>
        <v>28521</v>
      </c>
      <c r="C238" s="2">
        <f t="shared" si="17"/>
        <v>2376.75</v>
      </c>
      <c r="D238" s="2">
        <f t="shared" si="22"/>
        <v>28521</v>
      </c>
      <c r="E238" s="12">
        <f t="shared" si="18"/>
        <v>28500</v>
      </c>
      <c r="F238" s="3">
        <f t="shared" si="23"/>
        <v>-21</v>
      </c>
    </row>
    <row r="239" spans="1:6" x14ac:dyDescent="0.3">
      <c r="A239" s="1">
        <v>20500</v>
      </c>
      <c r="B239" s="1">
        <f t="shared" si="21"/>
        <v>28661</v>
      </c>
      <c r="C239" s="2">
        <f t="shared" si="17"/>
        <v>2388.4166666666665</v>
      </c>
      <c r="D239" s="2">
        <f t="shared" si="22"/>
        <v>28661</v>
      </c>
      <c r="E239" s="12">
        <f t="shared" si="18"/>
        <v>28700</v>
      </c>
      <c r="F239" s="3">
        <f t="shared" si="23"/>
        <v>39</v>
      </c>
    </row>
    <row r="240" spans="1:6" x14ac:dyDescent="0.3">
      <c r="A240" s="1">
        <v>20800</v>
      </c>
      <c r="B240" s="1">
        <f t="shared" si="21"/>
        <v>29080</v>
      </c>
      <c r="C240" s="2">
        <f t="shared" si="17"/>
        <v>2423.3333333333335</v>
      </c>
      <c r="D240" s="2">
        <f t="shared" si="22"/>
        <v>29080</v>
      </c>
      <c r="E240" s="12">
        <f t="shared" si="18"/>
        <v>29100</v>
      </c>
      <c r="F240" s="3">
        <f t="shared" si="23"/>
        <v>20</v>
      </c>
    </row>
    <row r="241" spans="1:6" x14ac:dyDescent="0.3">
      <c r="A241" s="1">
        <v>20900</v>
      </c>
      <c r="B241" s="1">
        <f t="shared" si="21"/>
        <v>29220</v>
      </c>
      <c r="C241" s="2">
        <f t="shared" si="17"/>
        <v>2435</v>
      </c>
      <c r="D241" s="2">
        <f t="shared" si="22"/>
        <v>29220</v>
      </c>
      <c r="E241" s="12">
        <f t="shared" si="18"/>
        <v>29200</v>
      </c>
      <c r="F241" s="3">
        <f t="shared" si="23"/>
        <v>-20</v>
      </c>
    </row>
    <row r="242" spans="1:6" x14ac:dyDescent="0.3">
      <c r="A242" s="1">
        <v>21100</v>
      </c>
      <c r="B242" s="1">
        <f t="shared" si="21"/>
        <v>29499</v>
      </c>
      <c r="C242" s="2">
        <f t="shared" si="17"/>
        <v>2458.25</v>
      </c>
      <c r="D242" s="2">
        <f t="shared" si="22"/>
        <v>29499</v>
      </c>
      <c r="E242" s="12">
        <f t="shared" si="18"/>
        <v>29500</v>
      </c>
      <c r="F242" s="3">
        <f t="shared" si="23"/>
        <v>1</v>
      </c>
    </row>
    <row r="243" spans="1:6" x14ac:dyDescent="0.3">
      <c r="A243" s="1">
        <v>21300</v>
      </c>
      <c r="B243" s="1">
        <f t="shared" si="21"/>
        <v>29779</v>
      </c>
      <c r="C243" s="2">
        <f t="shared" si="17"/>
        <v>2481.5833333333335</v>
      </c>
      <c r="D243" s="2">
        <f t="shared" si="22"/>
        <v>29779</v>
      </c>
      <c r="E243" s="12">
        <f t="shared" si="18"/>
        <v>29800</v>
      </c>
      <c r="F243" s="3">
        <f t="shared" si="23"/>
        <v>21</v>
      </c>
    </row>
    <row r="244" spans="1:6" x14ac:dyDescent="0.3">
      <c r="A244" s="1">
        <v>21900</v>
      </c>
      <c r="B244" s="1">
        <f t="shared" si="21"/>
        <v>30618</v>
      </c>
      <c r="C244" s="2">
        <f t="shared" si="17"/>
        <v>2551.5</v>
      </c>
      <c r="D244" s="2">
        <f t="shared" si="22"/>
        <v>30618</v>
      </c>
      <c r="E244" s="12">
        <f t="shared" si="18"/>
        <v>30600</v>
      </c>
      <c r="F244" s="3">
        <f t="shared" si="23"/>
        <v>-18</v>
      </c>
    </row>
    <row r="245" spans="1:6" x14ac:dyDescent="0.3">
      <c r="A245" s="1">
        <v>22000</v>
      </c>
      <c r="B245" s="1">
        <f t="shared" si="21"/>
        <v>30758</v>
      </c>
      <c r="C245" s="2">
        <f t="shared" si="17"/>
        <v>2563.1666666666665</v>
      </c>
      <c r="D245" s="2">
        <f t="shared" si="22"/>
        <v>30758</v>
      </c>
      <c r="E245" s="12">
        <f t="shared" si="18"/>
        <v>30800</v>
      </c>
      <c r="F245" s="3">
        <f t="shared" si="23"/>
        <v>42</v>
      </c>
    </row>
    <row r="246" spans="1:6" x14ac:dyDescent="0.3">
      <c r="A246" s="1">
        <v>22200</v>
      </c>
      <c r="B246" s="1">
        <f t="shared" si="21"/>
        <v>31037</v>
      </c>
      <c r="C246" s="2">
        <f t="shared" ref="C246:C309" si="24">VALUE(B246)/12</f>
        <v>2586.4166666666665</v>
      </c>
      <c r="D246" s="2">
        <f t="shared" si="22"/>
        <v>31037</v>
      </c>
      <c r="E246" s="12">
        <f t="shared" si="18"/>
        <v>31000</v>
      </c>
      <c r="F246" s="3">
        <f t="shared" si="23"/>
        <v>-37</v>
      </c>
    </row>
    <row r="247" spans="1:6" x14ac:dyDescent="0.3">
      <c r="A247" s="1">
        <v>22400</v>
      </c>
      <c r="B247" s="1">
        <f t="shared" si="21"/>
        <v>31317</v>
      </c>
      <c r="C247" s="2">
        <f t="shared" si="24"/>
        <v>2609.75</v>
      </c>
      <c r="D247" s="2">
        <f t="shared" si="22"/>
        <v>31317</v>
      </c>
      <c r="E247" s="12">
        <f t="shared" si="18"/>
        <v>31300</v>
      </c>
      <c r="F247" s="3">
        <f t="shared" si="23"/>
        <v>-17</v>
      </c>
    </row>
    <row r="248" spans="1:6" x14ac:dyDescent="0.3">
      <c r="A248" s="1">
        <v>22500</v>
      </c>
      <c r="B248" s="1">
        <f t="shared" si="21"/>
        <v>31457</v>
      </c>
      <c r="C248" s="2">
        <f t="shared" si="24"/>
        <v>2621.4166666666665</v>
      </c>
      <c r="D248" s="2">
        <f t="shared" si="22"/>
        <v>31457</v>
      </c>
      <c r="E248" s="12">
        <f t="shared" ref="E248:E311" si="25">IF(D248&lt;1000,D248,ROUND(D248,-2))</f>
        <v>31500</v>
      </c>
      <c r="F248" s="3">
        <f t="shared" si="23"/>
        <v>43</v>
      </c>
    </row>
    <row r="249" spans="1:6" x14ac:dyDescent="0.3">
      <c r="A249" s="1">
        <v>22600</v>
      </c>
      <c r="B249" s="1">
        <f t="shared" si="21"/>
        <v>31597</v>
      </c>
      <c r="C249" s="2">
        <f t="shared" si="24"/>
        <v>2633.0833333333335</v>
      </c>
      <c r="D249" s="2">
        <f t="shared" si="22"/>
        <v>31597</v>
      </c>
      <c r="E249" s="12">
        <f t="shared" si="25"/>
        <v>31600</v>
      </c>
      <c r="F249" s="3">
        <f t="shared" si="23"/>
        <v>3</v>
      </c>
    </row>
    <row r="250" spans="1:6" x14ac:dyDescent="0.3">
      <c r="A250" s="1">
        <v>22900</v>
      </c>
      <c r="B250" s="1">
        <f t="shared" si="21"/>
        <v>32016</v>
      </c>
      <c r="C250" s="2">
        <f t="shared" si="24"/>
        <v>2668</v>
      </c>
      <c r="D250" s="2">
        <f t="shared" si="22"/>
        <v>32016</v>
      </c>
      <c r="E250" s="12">
        <f t="shared" si="25"/>
        <v>32000</v>
      </c>
      <c r="F250" s="3">
        <f t="shared" si="23"/>
        <v>-16</v>
      </c>
    </row>
    <row r="251" spans="1:6" x14ac:dyDescent="0.3">
      <c r="A251" s="1">
        <v>23000</v>
      </c>
      <c r="B251" s="1">
        <f t="shared" si="21"/>
        <v>32156</v>
      </c>
      <c r="C251" s="2">
        <f t="shared" si="24"/>
        <v>2679.6666666666665</v>
      </c>
      <c r="D251" s="2">
        <f t="shared" si="22"/>
        <v>32156</v>
      </c>
      <c r="E251" s="12">
        <f t="shared" si="25"/>
        <v>32200</v>
      </c>
      <c r="F251" s="3">
        <f t="shared" si="23"/>
        <v>44</v>
      </c>
    </row>
    <row r="252" spans="1:6" x14ac:dyDescent="0.3">
      <c r="A252" s="1">
        <v>23200</v>
      </c>
      <c r="B252" s="1">
        <f t="shared" si="21"/>
        <v>32435</v>
      </c>
      <c r="C252" s="2">
        <f t="shared" si="24"/>
        <v>2702.9166666666665</v>
      </c>
      <c r="D252" s="2">
        <f t="shared" si="22"/>
        <v>32435</v>
      </c>
      <c r="E252" s="12">
        <f t="shared" si="25"/>
        <v>32400</v>
      </c>
      <c r="F252" s="3">
        <f t="shared" si="23"/>
        <v>-35</v>
      </c>
    </row>
    <row r="253" spans="1:6" x14ac:dyDescent="0.3">
      <c r="A253" s="1">
        <v>23300</v>
      </c>
      <c r="B253" s="1">
        <f t="shared" si="21"/>
        <v>32575</v>
      </c>
      <c r="C253" s="2">
        <f t="shared" si="24"/>
        <v>2714.5833333333335</v>
      </c>
      <c r="D253" s="2">
        <f t="shared" si="22"/>
        <v>32575</v>
      </c>
      <c r="E253" s="12">
        <f t="shared" si="25"/>
        <v>32600</v>
      </c>
      <c r="F253" s="3">
        <f t="shared" si="23"/>
        <v>25</v>
      </c>
    </row>
    <row r="254" spans="1:6" x14ac:dyDescent="0.3">
      <c r="A254" s="1">
        <v>23400</v>
      </c>
      <c r="B254" s="1">
        <f t="shared" si="21"/>
        <v>32715</v>
      </c>
      <c r="C254" s="2">
        <f t="shared" si="24"/>
        <v>2726.25</v>
      </c>
      <c r="D254" s="2">
        <f t="shared" si="22"/>
        <v>32715</v>
      </c>
      <c r="E254" s="12">
        <f t="shared" si="25"/>
        <v>32700</v>
      </c>
      <c r="F254" s="3">
        <f t="shared" si="23"/>
        <v>-15</v>
      </c>
    </row>
    <row r="255" spans="1:6" x14ac:dyDescent="0.3">
      <c r="A255" s="1">
        <v>23500</v>
      </c>
      <c r="B255" s="1">
        <f t="shared" si="21"/>
        <v>32855</v>
      </c>
      <c r="C255" s="2">
        <f t="shared" si="24"/>
        <v>2737.9166666666665</v>
      </c>
      <c r="D255" s="2">
        <f t="shared" si="22"/>
        <v>32855</v>
      </c>
      <c r="E255" s="12">
        <f t="shared" si="25"/>
        <v>32900</v>
      </c>
      <c r="F255" s="3">
        <f t="shared" si="23"/>
        <v>45</v>
      </c>
    </row>
    <row r="256" spans="1:6" x14ac:dyDescent="0.3">
      <c r="A256" s="1">
        <v>23600</v>
      </c>
      <c r="B256" s="1">
        <f t="shared" si="21"/>
        <v>32995</v>
      </c>
      <c r="C256" s="2">
        <f t="shared" si="24"/>
        <v>2749.5833333333335</v>
      </c>
      <c r="D256" s="2">
        <f t="shared" si="22"/>
        <v>32995</v>
      </c>
      <c r="E256" s="12">
        <f t="shared" si="25"/>
        <v>33000</v>
      </c>
      <c r="F256" s="3">
        <f t="shared" si="23"/>
        <v>5</v>
      </c>
    </row>
    <row r="257" spans="1:6" x14ac:dyDescent="0.3">
      <c r="A257" s="1">
        <v>23700</v>
      </c>
      <c r="B257" s="1">
        <f t="shared" ref="B257:B320" si="26">IF(A257&lt;1000,$B$1*A257,ROUND($B$1*A257,0))</f>
        <v>33134</v>
      </c>
      <c r="C257" s="2">
        <f t="shared" si="24"/>
        <v>2761.1666666666665</v>
      </c>
      <c r="D257" s="2">
        <f t="shared" si="22"/>
        <v>33134</v>
      </c>
      <c r="E257" s="12">
        <f t="shared" si="25"/>
        <v>33100</v>
      </c>
      <c r="F257" s="3">
        <f t="shared" si="23"/>
        <v>-34</v>
      </c>
    </row>
    <row r="258" spans="1:6" x14ac:dyDescent="0.3">
      <c r="A258" s="1">
        <v>23800</v>
      </c>
      <c r="B258" s="1">
        <f t="shared" si="26"/>
        <v>33274</v>
      </c>
      <c r="C258" s="2">
        <f t="shared" si="24"/>
        <v>2772.8333333333335</v>
      </c>
      <c r="D258" s="2">
        <f t="shared" si="22"/>
        <v>33274</v>
      </c>
      <c r="E258" s="12">
        <f t="shared" si="25"/>
        <v>33300</v>
      </c>
      <c r="F258" s="3">
        <f t="shared" si="23"/>
        <v>26</v>
      </c>
    </row>
    <row r="259" spans="1:6" x14ac:dyDescent="0.3">
      <c r="A259" s="1">
        <v>23900</v>
      </c>
      <c r="B259" s="1">
        <f t="shared" si="26"/>
        <v>33414</v>
      </c>
      <c r="C259" s="2">
        <f t="shared" si="24"/>
        <v>2784.5</v>
      </c>
      <c r="D259" s="2">
        <f t="shared" si="22"/>
        <v>33414</v>
      </c>
      <c r="E259" s="12">
        <f t="shared" si="25"/>
        <v>33400</v>
      </c>
      <c r="F259" s="3">
        <f t="shared" si="23"/>
        <v>-14</v>
      </c>
    </row>
    <row r="260" spans="1:6" x14ac:dyDescent="0.3">
      <c r="A260" s="1">
        <v>24000</v>
      </c>
      <c r="B260" s="1">
        <f t="shared" si="26"/>
        <v>33554</v>
      </c>
      <c r="C260" s="2">
        <f t="shared" si="24"/>
        <v>2796.1666666666665</v>
      </c>
      <c r="D260" s="2">
        <f t="shared" si="22"/>
        <v>33554</v>
      </c>
      <c r="E260" s="12">
        <f t="shared" si="25"/>
        <v>33600</v>
      </c>
      <c r="F260" s="3">
        <f t="shared" si="23"/>
        <v>46</v>
      </c>
    </row>
    <row r="261" spans="1:6" x14ac:dyDescent="0.3">
      <c r="A261" s="1">
        <v>24500</v>
      </c>
      <c r="B261" s="1">
        <f t="shared" si="26"/>
        <v>34253</v>
      </c>
      <c r="C261" s="2">
        <f t="shared" si="24"/>
        <v>2854.4166666666665</v>
      </c>
      <c r="D261" s="2">
        <f t="shared" si="22"/>
        <v>34253</v>
      </c>
      <c r="E261" s="12">
        <f t="shared" si="25"/>
        <v>34300</v>
      </c>
      <c r="F261" s="3">
        <f t="shared" si="23"/>
        <v>47</v>
      </c>
    </row>
    <row r="262" spans="1:6" x14ac:dyDescent="0.3">
      <c r="A262" s="1">
        <v>24900</v>
      </c>
      <c r="B262" s="1">
        <f t="shared" si="26"/>
        <v>34812</v>
      </c>
      <c r="C262" s="2">
        <f t="shared" si="24"/>
        <v>2901</v>
      </c>
      <c r="D262" s="2">
        <f t="shared" si="22"/>
        <v>34812</v>
      </c>
      <c r="E262" s="12">
        <f t="shared" si="25"/>
        <v>34800</v>
      </c>
      <c r="F262" s="3">
        <f t="shared" si="23"/>
        <v>-12</v>
      </c>
    </row>
    <row r="263" spans="1:6" x14ac:dyDescent="0.3">
      <c r="A263" s="1">
        <v>25000</v>
      </c>
      <c r="B263" s="1">
        <f t="shared" si="26"/>
        <v>34952</v>
      </c>
      <c r="C263" s="2">
        <f t="shared" si="24"/>
        <v>2912.6666666666665</v>
      </c>
      <c r="D263" s="2">
        <f t="shared" si="22"/>
        <v>34952</v>
      </c>
      <c r="E263" s="12">
        <f t="shared" si="25"/>
        <v>35000</v>
      </c>
      <c r="F263" s="3">
        <f t="shared" si="23"/>
        <v>48</v>
      </c>
    </row>
    <row r="264" spans="1:6" x14ac:dyDescent="0.3">
      <c r="A264" s="1">
        <v>25200</v>
      </c>
      <c r="B264" s="1">
        <f t="shared" si="26"/>
        <v>35232</v>
      </c>
      <c r="C264" s="2">
        <f t="shared" si="24"/>
        <v>2936</v>
      </c>
      <c r="D264" s="2">
        <f t="shared" si="22"/>
        <v>35232</v>
      </c>
      <c r="E264" s="12">
        <f t="shared" si="25"/>
        <v>35200</v>
      </c>
      <c r="F264" s="3">
        <f t="shared" si="23"/>
        <v>-32</v>
      </c>
    </row>
    <row r="265" spans="1:6" x14ac:dyDescent="0.3">
      <c r="A265" s="1">
        <v>25400</v>
      </c>
      <c r="B265" s="1">
        <f t="shared" si="26"/>
        <v>35511</v>
      </c>
      <c r="C265" s="2">
        <f t="shared" si="24"/>
        <v>2959.25</v>
      </c>
      <c r="D265" s="2">
        <f t="shared" si="22"/>
        <v>35511</v>
      </c>
      <c r="E265" s="12">
        <f t="shared" si="25"/>
        <v>35500</v>
      </c>
      <c r="F265" s="3">
        <f t="shared" si="23"/>
        <v>-11</v>
      </c>
    </row>
    <row r="266" spans="1:6" x14ac:dyDescent="0.3">
      <c r="A266" s="1">
        <v>25700</v>
      </c>
      <c r="B266" s="1">
        <f t="shared" si="26"/>
        <v>35931</v>
      </c>
      <c r="C266" s="2">
        <f t="shared" si="24"/>
        <v>2994.25</v>
      </c>
      <c r="D266" s="2">
        <f t="shared" si="22"/>
        <v>35931</v>
      </c>
      <c r="E266" s="12">
        <f t="shared" si="25"/>
        <v>35900</v>
      </c>
      <c r="F266" s="3">
        <f t="shared" si="23"/>
        <v>-31</v>
      </c>
    </row>
    <row r="267" spans="1:6" x14ac:dyDescent="0.3">
      <c r="A267" s="1">
        <v>26000</v>
      </c>
      <c r="B267" s="1">
        <f t="shared" si="26"/>
        <v>36350</v>
      </c>
      <c r="C267" s="2">
        <f t="shared" si="24"/>
        <v>3029.1666666666665</v>
      </c>
      <c r="D267" s="2">
        <f t="shared" si="22"/>
        <v>36350</v>
      </c>
      <c r="E267" s="12">
        <f t="shared" si="25"/>
        <v>36400</v>
      </c>
      <c r="F267" s="3">
        <f t="shared" si="23"/>
        <v>50</v>
      </c>
    </row>
    <row r="268" spans="1:6" x14ac:dyDescent="0.3">
      <c r="A268" s="1">
        <v>26300</v>
      </c>
      <c r="B268" s="1">
        <f t="shared" si="26"/>
        <v>36769</v>
      </c>
      <c r="C268" s="2">
        <f t="shared" si="24"/>
        <v>3064.0833333333335</v>
      </c>
      <c r="D268" s="2">
        <f t="shared" si="22"/>
        <v>36769</v>
      </c>
      <c r="E268" s="12">
        <f t="shared" si="25"/>
        <v>36800</v>
      </c>
      <c r="F268" s="3">
        <f t="shared" si="23"/>
        <v>31</v>
      </c>
    </row>
    <row r="269" spans="1:6" x14ac:dyDescent="0.3">
      <c r="A269" s="1">
        <v>26600</v>
      </c>
      <c r="B269" s="1">
        <f t="shared" si="26"/>
        <v>37189</v>
      </c>
      <c r="C269" s="2">
        <f t="shared" si="24"/>
        <v>3099.0833333333335</v>
      </c>
      <c r="D269" s="2">
        <f t="shared" si="22"/>
        <v>37189</v>
      </c>
      <c r="E269" s="12">
        <f t="shared" si="25"/>
        <v>37200</v>
      </c>
      <c r="F269" s="3">
        <f t="shared" si="23"/>
        <v>11</v>
      </c>
    </row>
    <row r="270" spans="1:6" x14ac:dyDescent="0.3">
      <c r="A270" s="1">
        <v>26700</v>
      </c>
      <c r="B270" s="1">
        <f t="shared" si="26"/>
        <v>37329</v>
      </c>
      <c r="C270" s="2">
        <f t="shared" si="24"/>
        <v>3110.75</v>
      </c>
      <c r="D270" s="2">
        <f t="shared" si="22"/>
        <v>37329</v>
      </c>
      <c r="E270" s="12">
        <f t="shared" si="25"/>
        <v>37300</v>
      </c>
      <c r="F270" s="3">
        <f t="shared" si="23"/>
        <v>-29</v>
      </c>
    </row>
    <row r="271" spans="1:6" x14ac:dyDescent="0.3">
      <c r="A271" s="1">
        <v>26900</v>
      </c>
      <c r="B271" s="1">
        <f t="shared" si="26"/>
        <v>37608</v>
      </c>
      <c r="C271" s="2">
        <f t="shared" si="24"/>
        <v>3134</v>
      </c>
      <c r="D271" s="2">
        <f t="shared" si="22"/>
        <v>37608</v>
      </c>
      <c r="E271" s="12">
        <f t="shared" si="25"/>
        <v>37600</v>
      </c>
      <c r="F271" s="3">
        <f t="shared" si="23"/>
        <v>-8</v>
      </c>
    </row>
    <row r="272" spans="1:6" x14ac:dyDescent="0.3">
      <c r="A272" s="1">
        <v>27000</v>
      </c>
      <c r="B272" s="1">
        <f t="shared" si="26"/>
        <v>37748</v>
      </c>
      <c r="C272" s="2">
        <f t="shared" si="24"/>
        <v>3145.6666666666665</v>
      </c>
      <c r="D272" s="2">
        <f t="shared" si="22"/>
        <v>37748</v>
      </c>
      <c r="E272" s="12">
        <f t="shared" si="25"/>
        <v>37700</v>
      </c>
      <c r="F272" s="3">
        <f t="shared" si="23"/>
        <v>-48</v>
      </c>
    </row>
    <row r="273" spans="1:6" x14ac:dyDescent="0.3">
      <c r="A273" s="1">
        <v>27100</v>
      </c>
      <c r="B273" s="1">
        <f t="shared" si="26"/>
        <v>37888</v>
      </c>
      <c r="C273" s="2">
        <f t="shared" si="24"/>
        <v>3157.3333333333335</v>
      </c>
      <c r="D273" s="2">
        <f t="shared" si="22"/>
        <v>37888</v>
      </c>
      <c r="E273" s="12">
        <f t="shared" si="25"/>
        <v>37900</v>
      </c>
      <c r="F273" s="3">
        <f t="shared" si="23"/>
        <v>12</v>
      </c>
    </row>
    <row r="274" spans="1:6" x14ac:dyDescent="0.3">
      <c r="A274" s="1">
        <v>27600</v>
      </c>
      <c r="B274" s="1">
        <f t="shared" si="26"/>
        <v>38587</v>
      </c>
      <c r="C274" s="2">
        <f t="shared" si="24"/>
        <v>3215.5833333333335</v>
      </c>
      <c r="D274" s="2">
        <f t="shared" si="22"/>
        <v>38587</v>
      </c>
      <c r="E274" s="12">
        <f t="shared" si="25"/>
        <v>38600</v>
      </c>
      <c r="F274" s="3">
        <f t="shared" si="23"/>
        <v>13</v>
      </c>
    </row>
    <row r="275" spans="1:6" x14ac:dyDescent="0.3">
      <c r="A275" s="1">
        <v>27700</v>
      </c>
      <c r="B275" s="1">
        <f t="shared" si="26"/>
        <v>38727</v>
      </c>
      <c r="C275" s="2">
        <f t="shared" si="24"/>
        <v>3227.25</v>
      </c>
      <c r="D275" s="2">
        <f t="shared" si="22"/>
        <v>38727</v>
      </c>
      <c r="E275" s="12">
        <f t="shared" si="25"/>
        <v>38700</v>
      </c>
      <c r="F275" s="3">
        <f t="shared" si="23"/>
        <v>-27</v>
      </c>
    </row>
    <row r="276" spans="1:6" x14ac:dyDescent="0.3">
      <c r="A276" s="1">
        <v>28000</v>
      </c>
      <c r="B276" s="1">
        <f t="shared" si="26"/>
        <v>39146</v>
      </c>
      <c r="C276" s="2">
        <f t="shared" si="24"/>
        <v>3262.1666666666665</v>
      </c>
      <c r="D276" s="2">
        <f t="shared" si="22"/>
        <v>39146</v>
      </c>
      <c r="E276" s="12">
        <f t="shared" si="25"/>
        <v>39100</v>
      </c>
      <c r="F276" s="3">
        <f t="shared" si="23"/>
        <v>-46</v>
      </c>
    </row>
    <row r="277" spans="1:6" x14ac:dyDescent="0.3">
      <c r="A277" s="1">
        <v>28100</v>
      </c>
      <c r="B277" s="1">
        <f t="shared" si="26"/>
        <v>39286</v>
      </c>
      <c r="C277" s="2">
        <f t="shared" si="24"/>
        <v>3273.8333333333335</v>
      </c>
      <c r="D277" s="2">
        <f t="shared" si="22"/>
        <v>39286</v>
      </c>
      <c r="E277" s="12">
        <f t="shared" si="25"/>
        <v>39300</v>
      </c>
      <c r="F277" s="3">
        <f t="shared" si="23"/>
        <v>14</v>
      </c>
    </row>
    <row r="278" spans="1:6" x14ac:dyDescent="0.3">
      <c r="A278" s="1">
        <v>29000</v>
      </c>
      <c r="B278" s="1">
        <f t="shared" si="26"/>
        <v>40544</v>
      </c>
      <c r="C278" s="2">
        <f t="shared" si="24"/>
        <v>3378.6666666666665</v>
      </c>
      <c r="D278" s="2">
        <f t="shared" si="22"/>
        <v>40544</v>
      </c>
      <c r="E278" s="12">
        <f t="shared" si="25"/>
        <v>40500</v>
      </c>
      <c r="F278" s="3">
        <f t="shared" si="23"/>
        <v>-44</v>
      </c>
    </row>
    <row r="279" spans="1:6" x14ac:dyDescent="0.3">
      <c r="A279" s="1">
        <v>29100</v>
      </c>
      <c r="B279" s="1">
        <f t="shared" si="26"/>
        <v>40684</v>
      </c>
      <c r="C279" s="2">
        <f t="shared" si="24"/>
        <v>3390.3333333333335</v>
      </c>
      <c r="D279" s="2">
        <f t="shared" si="22"/>
        <v>40684</v>
      </c>
      <c r="E279" s="12">
        <f t="shared" si="25"/>
        <v>40700</v>
      </c>
      <c r="F279" s="3">
        <f t="shared" si="23"/>
        <v>16</v>
      </c>
    </row>
    <row r="280" spans="1:6" x14ac:dyDescent="0.3">
      <c r="A280" s="1">
        <v>29200</v>
      </c>
      <c r="B280" s="1">
        <f t="shared" si="26"/>
        <v>40824</v>
      </c>
      <c r="C280" s="2">
        <f t="shared" si="24"/>
        <v>3402</v>
      </c>
      <c r="D280" s="2">
        <f t="shared" si="22"/>
        <v>40824</v>
      </c>
      <c r="E280" s="12">
        <f t="shared" si="25"/>
        <v>40800</v>
      </c>
      <c r="F280" s="3">
        <f t="shared" si="23"/>
        <v>-24</v>
      </c>
    </row>
    <row r="281" spans="1:6" x14ac:dyDescent="0.3">
      <c r="A281" s="1">
        <v>29300</v>
      </c>
      <c r="B281" s="1">
        <f t="shared" si="26"/>
        <v>40964</v>
      </c>
      <c r="C281" s="2">
        <f t="shared" si="24"/>
        <v>3413.6666666666665</v>
      </c>
      <c r="D281" s="2">
        <f t="shared" si="22"/>
        <v>40964</v>
      </c>
      <c r="E281" s="12">
        <f t="shared" si="25"/>
        <v>41000</v>
      </c>
      <c r="F281" s="3">
        <f t="shared" si="23"/>
        <v>36</v>
      </c>
    </row>
    <row r="282" spans="1:6" x14ac:dyDescent="0.3">
      <c r="A282" s="1">
        <v>29400</v>
      </c>
      <c r="B282" s="1">
        <f t="shared" si="26"/>
        <v>41104</v>
      </c>
      <c r="C282" s="2">
        <f t="shared" si="24"/>
        <v>3425.3333333333335</v>
      </c>
      <c r="D282" s="2">
        <f t="shared" si="22"/>
        <v>41104</v>
      </c>
      <c r="E282" s="12">
        <f t="shared" si="25"/>
        <v>41100</v>
      </c>
      <c r="F282" s="3">
        <f t="shared" si="23"/>
        <v>-4</v>
      </c>
    </row>
    <row r="283" spans="1:6" x14ac:dyDescent="0.3">
      <c r="A283" s="1">
        <v>29900</v>
      </c>
      <c r="B283" s="1">
        <f t="shared" si="26"/>
        <v>41803</v>
      </c>
      <c r="C283" s="2">
        <f t="shared" si="24"/>
        <v>3483.5833333333335</v>
      </c>
      <c r="D283" s="2">
        <f t="shared" si="22"/>
        <v>41803</v>
      </c>
      <c r="E283" s="12">
        <f t="shared" si="25"/>
        <v>41800</v>
      </c>
      <c r="F283" s="3">
        <f t="shared" si="23"/>
        <v>-3</v>
      </c>
    </row>
    <row r="284" spans="1:6" x14ac:dyDescent="0.3">
      <c r="A284" s="1">
        <v>30000</v>
      </c>
      <c r="B284" s="1">
        <f t="shared" si="26"/>
        <v>41942</v>
      </c>
      <c r="C284" s="2">
        <f t="shared" si="24"/>
        <v>3495.1666666666665</v>
      </c>
      <c r="D284" s="2">
        <f t="shared" si="22"/>
        <v>41942</v>
      </c>
      <c r="E284" s="12">
        <f t="shared" si="25"/>
        <v>41900</v>
      </c>
      <c r="F284" s="3">
        <f t="shared" si="23"/>
        <v>-42</v>
      </c>
    </row>
    <row r="285" spans="1:6" x14ac:dyDescent="0.3">
      <c r="A285" s="1">
        <v>30200</v>
      </c>
      <c r="B285" s="1">
        <f t="shared" si="26"/>
        <v>42222</v>
      </c>
      <c r="C285" s="2">
        <f t="shared" si="24"/>
        <v>3518.5</v>
      </c>
      <c r="D285" s="2">
        <f t="shared" si="22"/>
        <v>42222</v>
      </c>
      <c r="E285" s="12">
        <f t="shared" si="25"/>
        <v>42200</v>
      </c>
      <c r="F285" s="3">
        <f t="shared" si="23"/>
        <v>-22</v>
      </c>
    </row>
    <row r="286" spans="1:6" x14ac:dyDescent="0.3">
      <c r="A286" s="1">
        <v>30500</v>
      </c>
      <c r="B286" s="1">
        <f t="shared" si="26"/>
        <v>42641</v>
      </c>
      <c r="C286" s="2">
        <f t="shared" si="24"/>
        <v>3553.4166666666665</v>
      </c>
      <c r="D286" s="2">
        <f t="shared" si="22"/>
        <v>42641</v>
      </c>
      <c r="E286" s="12">
        <f t="shared" si="25"/>
        <v>42600</v>
      </c>
      <c r="F286" s="3">
        <f t="shared" si="23"/>
        <v>-41</v>
      </c>
    </row>
    <row r="287" spans="1:6" x14ac:dyDescent="0.3">
      <c r="A287" s="1">
        <v>30700</v>
      </c>
      <c r="B287" s="1">
        <f t="shared" si="26"/>
        <v>42921</v>
      </c>
      <c r="C287" s="2">
        <f t="shared" si="24"/>
        <v>3576.75</v>
      </c>
      <c r="D287" s="2">
        <f t="shared" si="22"/>
        <v>42921</v>
      </c>
      <c r="E287" s="12">
        <f t="shared" si="25"/>
        <v>42900</v>
      </c>
      <c r="F287" s="3">
        <f t="shared" si="23"/>
        <v>-21</v>
      </c>
    </row>
    <row r="288" spans="1:6" x14ac:dyDescent="0.3">
      <c r="A288" s="1">
        <v>30800</v>
      </c>
      <c r="B288" s="1">
        <f t="shared" si="26"/>
        <v>43061</v>
      </c>
      <c r="C288" s="2">
        <f t="shared" si="24"/>
        <v>3588.4166666666665</v>
      </c>
      <c r="D288" s="2">
        <f t="shared" si="22"/>
        <v>43061</v>
      </c>
      <c r="E288" s="12">
        <f t="shared" si="25"/>
        <v>43100</v>
      </c>
      <c r="F288" s="3">
        <f t="shared" si="23"/>
        <v>39</v>
      </c>
    </row>
    <row r="289" spans="1:6" x14ac:dyDescent="0.3">
      <c r="A289" s="1">
        <v>31800</v>
      </c>
      <c r="B289" s="1">
        <f t="shared" si="26"/>
        <v>44459</v>
      </c>
      <c r="C289" s="2">
        <f t="shared" si="24"/>
        <v>3704.9166666666665</v>
      </c>
      <c r="D289" s="2">
        <f t="shared" si="22"/>
        <v>44459</v>
      </c>
      <c r="E289" s="12">
        <f t="shared" si="25"/>
        <v>44500</v>
      </c>
      <c r="F289" s="3">
        <f t="shared" si="23"/>
        <v>41</v>
      </c>
    </row>
    <row r="290" spans="1:6" x14ac:dyDescent="0.3">
      <c r="A290" s="1">
        <v>32000</v>
      </c>
      <c r="B290" s="1">
        <f t="shared" si="26"/>
        <v>44739</v>
      </c>
      <c r="C290" s="2">
        <f t="shared" si="24"/>
        <v>3728.25</v>
      </c>
      <c r="D290" s="2">
        <f t="shared" si="22"/>
        <v>44739</v>
      </c>
      <c r="E290" s="12">
        <f t="shared" si="25"/>
        <v>44700</v>
      </c>
      <c r="F290" s="3">
        <f t="shared" si="23"/>
        <v>-39</v>
      </c>
    </row>
    <row r="291" spans="1:6" x14ac:dyDescent="0.3">
      <c r="A291" s="1">
        <v>32100</v>
      </c>
      <c r="B291" s="1">
        <f t="shared" si="26"/>
        <v>44878</v>
      </c>
      <c r="C291" s="2">
        <f t="shared" si="24"/>
        <v>3739.8333333333335</v>
      </c>
      <c r="D291" s="2">
        <f t="shared" si="22"/>
        <v>44878</v>
      </c>
      <c r="E291" s="12">
        <f t="shared" si="25"/>
        <v>44900</v>
      </c>
      <c r="F291" s="3">
        <f t="shared" si="23"/>
        <v>22</v>
      </c>
    </row>
    <row r="292" spans="1:6" x14ac:dyDescent="0.3">
      <c r="A292" s="1">
        <v>32500</v>
      </c>
      <c r="B292" s="1">
        <f t="shared" si="26"/>
        <v>45438</v>
      </c>
      <c r="C292" s="2">
        <f t="shared" si="24"/>
        <v>3786.5</v>
      </c>
      <c r="D292" s="2">
        <f t="shared" ref="D292:D297" si="27">B292</f>
        <v>45438</v>
      </c>
      <c r="E292" s="12">
        <f t="shared" si="25"/>
        <v>45400</v>
      </c>
      <c r="F292" s="3">
        <f t="shared" ref="F292:F297" si="28">E292-D292</f>
        <v>-38</v>
      </c>
    </row>
    <row r="293" spans="1:6" x14ac:dyDescent="0.3">
      <c r="A293" s="1">
        <v>33000</v>
      </c>
      <c r="B293" s="1">
        <f t="shared" si="26"/>
        <v>46137</v>
      </c>
      <c r="C293" s="2">
        <f t="shared" si="24"/>
        <v>3844.75</v>
      </c>
      <c r="D293" s="2">
        <f t="shared" si="27"/>
        <v>46137</v>
      </c>
      <c r="E293" s="12">
        <f t="shared" si="25"/>
        <v>46100</v>
      </c>
      <c r="F293" s="3">
        <f t="shared" si="28"/>
        <v>-37</v>
      </c>
    </row>
    <row r="294" spans="1:6" x14ac:dyDescent="0.3">
      <c r="A294" s="1">
        <v>33300</v>
      </c>
      <c r="B294" s="1">
        <f t="shared" si="26"/>
        <v>46556</v>
      </c>
      <c r="C294" s="2">
        <f t="shared" si="24"/>
        <v>3879.6666666666665</v>
      </c>
      <c r="D294" s="2">
        <f t="shared" si="27"/>
        <v>46556</v>
      </c>
      <c r="E294" s="12">
        <f t="shared" si="25"/>
        <v>46600</v>
      </c>
      <c r="F294" s="3">
        <f t="shared" si="28"/>
        <v>44</v>
      </c>
    </row>
    <row r="295" spans="1:6" x14ac:dyDescent="0.3">
      <c r="A295" s="1">
        <v>34200</v>
      </c>
      <c r="B295" s="1">
        <f t="shared" si="26"/>
        <v>47814</v>
      </c>
      <c r="C295" s="2">
        <f t="shared" si="24"/>
        <v>3984.5</v>
      </c>
      <c r="D295" s="2">
        <f t="shared" si="27"/>
        <v>47814</v>
      </c>
      <c r="E295" s="12">
        <f t="shared" si="25"/>
        <v>47800</v>
      </c>
      <c r="F295" s="3">
        <f t="shared" si="28"/>
        <v>-14</v>
      </c>
    </row>
    <row r="296" spans="1:6" x14ac:dyDescent="0.3">
      <c r="A296" s="1">
        <v>34300</v>
      </c>
      <c r="B296" s="1">
        <f t="shared" si="26"/>
        <v>47954</v>
      </c>
      <c r="C296" s="2">
        <f t="shared" si="24"/>
        <v>3996.1666666666665</v>
      </c>
      <c r="D296" s="2">
        <f t="shared" si="27"/>
        <v>47954</v>
      </c>
      <c r="E296" s="12">
        <f t="shared" si="25"/>
        <v>48000</v>
      </c>
      <c r="F296" s="3">
        <f t="shared" si="28"/>
        <v>46</v>
      </c>
    </row>
    <row r="297" spans="1:6" x14ac:dyDescent="0.3">
      <c r="A297" s="1">
        <v>34700</v>
      </c>
      <c r="B297" s="1">
        <f t="shared" si="26"/>
        <v>48513</v>
      </c>
      <c r="C297" s="2">
        <f t="shared" si="24"/>
        <v>4042.75</v>
      </c>
      <c r="D297" s="2">
        <f t="shared" si="27"/>
        <v>48513</v>
      </c>
      <c r="E297" s="12">
        <f t="shared" si="25"/>
        <v>48500</v>
      </c>
      <c r="F297" s="3">
        <f t="shared" si="28"/>
        <v>-13</v>
      </c>
    </row>
    <row r="298" spans="1:6" x14ac:dyDescent="0.3">
      <c r="A298" s="1">
        <v>35000</v>
      </c>
      <c r="B298" s="1">
        <f t="shared" si="26"/>
        <v>48933</v>
      </c>
      <c r="C298" s="2">
        <f t="shared" si="24"/>
        <v>4077.75</v>
      </c>
      <c r="D298" s="2">
        <f t="shared" ref="D298:D361" si="29">B298</f>
        <v>48933</v>
      </c>
      <c r="E298" s="12">
        <f t="shared" si="25"/>
        <v>48900</v>
      </c>
      <c r="F298" s="3">
        <f t="shared" ref="F298:F361" si="30">E298-D298</f>
        <v>-33</v>
      </c>
    </row>
    <row r="299" spans="1:6" x14ac:dyDescent="0.3">
      <c r="A299" s="1">
        <v>35100</v>
      </c>
      <c r="B299" s="1">
        <f t="shared" si="26"/>
        <v>49073</v>
      </c>
      <c r="C299" s="2">
        <f t="shared" si="24"/>
        <v>4089.4166666666665</v>
      </c>
      <c r="D299" s="2">
        <f t="shared" si="29"/>
        <v>49073</v>
      </c>
      <c r="E299" s="12">
        <f t="shared" si="25"/>
        <v>49100</v>
      </c>
      <c r="F299" s="3">
        <f t="shared" si="30"/>
        <v>27</v>
      </c>
    </row>
    <row r="300" spans="1:6" x14ac:dyDescent="0.3">
      <c r="A300" s="1">
        <v>35200</v>
      </c>
      <c r="B300" s="1">
        <f t="shared" si="26"/>
        <v>49212</v>
      </c>
      <c r="C300" s="2">
        <f t="shared" si="24"/>
        <v>4101</v>
      </c>
      <c r="D300" s="2">
        <f t="shared" si="29"/>
        <v>49212</v>
      </c>
      <c r="E300" s="12">
        <f t="shared" si="25"/>
        <v>49200</v>
      </c>
      <c r="F300" s="3">
        <f t="shared" si="30"/>
        <v>-12</v>
      </c>
    </row>
    <row r="301" spans="1:6" x14ac:dyDescent="0.3">
      <c r="A301" s="1">
        <v>35400</v>
      </c>
      <c r="B301" s="1">
        <f t="shared" si="26"/>
        <v>49492</v>
      </c>
      <c r="C301" s="2">
        <f t="shared" si="24"/>
        <v>4124.333333333333</v>
      </c>
      <c r="D301" s="2">
        <f t="shared" si="29"/>
        <v>49492</v>
      </c>
      <c r="E301" s="12">
        <f t="shared" si="25"/>
        <v>49500</v>
      </c>
      <c r="F301" s="3">
        <f t="shared" si="30"/>
        <v>8</v>
      </c>
    </row>
    <row r="302" spans="1:6" x14ac:dyDescent="0.3">
      <c r="A302" s="1">
        <v>36500</v>
      </c>
      <c r="B302" s="1">
        <f t="shared" si="26"/>
        <v>51030</v>
      </c>
      <c r="C302" s="2">
        <f t="shared" si="24"/>
        <v>4252.5</v>
      </c>
      <c r="D302" s="2">
        <f t="shared" si="29"/>
        <v>51030</v>
      </c>
      <c r="E302" s="12">
        <f t="shared" si="25"/>
        <v>51000</v>
      </c>
      <c r="F302" s="3">
        <f t="shared" si="30"/>
        <v>-30</v>
      </c>
    </row>
    <row r="303" spans="1:6" x14ac:dyDescent="0.3">
      <c r="A303" s="1">
        <v>36700</v>
      </c>
      <c r="B303" s="1">
        <f t="shared" si="26"/>
        <v>51309</v>
      </c>
      <c r="C303" s="2">
        <f t="shared" si="24"/>
        <v>4275.75</v>
      </c>
      <c r="D303" s="2">
        <f t="shared" si="29"/>
        <v>51309</v>
      </c>
      <c r="E303" s="12">
        <f t="shared" si="25"/>
        <v>51300</v>
      </c>
      <c r="F303" s="3">
        <f t="shared" si="30"/>
        <v>-9</v>
      </c>
    </row>
    <row r="304" spans="1:6" x14ac:dyDescent="0.3">
      <c r="A304" s="1">
        <v>37000</v>
      </c>
      <c r="B304" s="1">
        <f t="shared" si="26"/>
        <v>51729</v>
      </c>
      <c r="C304" s="2">
        <f t="shared" si="24"/>
        <v>4310.75</v>
      </c>
      <c r="D304" s="2">
        <f t="shared" si="29"/>
        <v>51729</v>
      </c>
      <c r="E304" s="12">
        <f t="shared" si="25"/>
        <v>51700</v>
      </c>
      <c r="F304" s="3">
        <f t="shared" si="30"/>
        <v>-29</v>
      </c>
    </row>
    <row r="305" spans="1:6" x14ac:dyDescent="0.3">
      <c r="A305" s="1">
        <v>38200</v>
      </c>
      <c r="B305" s="1">
        <f t="shared" si="26"/>
        <v>53407</v>
      </c>
      <c r="C305" s="2">
        <f t="shared" si="24"/>
        <v>4450.583333333333</v>
      </c>
      <c r="D305" s="2">
        <f t="shared" si="29"/>
        <v>53407</v>
      </c>
      <c r="E305" s="12">
        <f t="shared" si="25"/>
        <v>53400</v>
      </c>
      <c r="F305" s="3">
        <f t="shared" si="30"/>
        <v>-7</v>
      </c>
    </row>
    <row r="306" spans="1:6" x14ac:dyDescent="0.3">
      <c r="A306" s="1">
        <v>38900</v>
      </c>
      <c r="B306" s="1">
        <f t="shared" si="26"/>
        <v>54385</v>
      </c>
      <c r="C306" s="2">
        <f t="shared" si="24"/>
        <v>4532.083333333333</v>
      </c>
      <c r="D306" s="2">
        <f t="shared" si="29"/>
        <v>54385</v>
      </c>
      <c r="E306" s="12">
        <f t="shared" si="25"/>
        <v>54400</v>
      </c>
      <c r="F306" s="3">
        <f t="shared" si="30"/>
        <v>15</v>
      </c>
    </row>
    <row r="307" spans="1:6" x14ac:dyDescent="0.3">
      <c r="A307" s="1">
        <v>39200</v>
      </c>
      <c r="B307" s="1">
        <f t="shared" si="26"/>
        <v>54805</v>
      </c>
      <c r="C307" s="2">
        <f t="shared" si="24"/>
        <v>4567.083333333333</v>
      </c>
      <c r="D307" s="2">
        <f t="shared" si="29"/>
        <v>54805</v>
      </c>
      <c r="E307" s="12">
        <f t="shared" si="25"/>
        <v>54800</v>
      </c>
      <c r="F307" s="3">
        <f t="shared" si="30"/>
        <v>-5</v>
      </c>
    </row>
    <row r="308" spans="1:6" x14ac:dyDescent="0.3">
      <c r="A308" s="1">
        <v>40300</v>
      </c>
      <c r="B308" s="1">
        <f t="shared" si="26"/>
        <v>56343</v>
      </c>
      <c r="C308" s="2">
        <f t="shared" si="24"/>
        <v>4695.25</v>
      </c>
      <c r="D308" s="2">
        <f t="shared" si="29"/>
        <v>56343</v>
      </c>
      <c r="E308" s="12">
        <f t="shared" si="25"/>
        <v>56300</v>
      </c>
      <c r="F308" s="3">
        <f t="shared" si="30"/>
        <v>-43</v>
      </c>
    </row>
    <row r="309" spans="1:6" x14ac:dyDescent="0.3">
      <c r="A309" s="1">
        <v>40900</v>
      </c>
      <c r="B309" s="1">
        <f t="shared" si="26"/>
        <v>57181</v>
      </c>
      <c r="C309" s="2">
        <f t="shared" si="24"/>
        <v>4765.083333333333</v>
      </c>
      <c r="D309" s="2">
        <f t="shared" si="29"/>
        <v>57181</v>
      </c>
      <c r="E309" s="12">
        <f t="shared" si="25"/>
        <v>57200</v>
      </c>
      <c r="F309" s="3">
        <f t="shared" si="30"/>
        <v>19</v>
      </c>
    </row>
    <row r="310" spans="1:6" x14ac:dyDescent="0.3">
      <c r="A310" s="1">
        <v>41600</v>
      </c>
      <c r="B310" s="1">
        <f t="shared" si="26"/>
        <v>58160</v>
      </c>
      <c r="C310" s="2">
        <f t="shared" ref="C310:C373" si="31">VALUE(B310)/12</f>
        <v>4846.666666666667</v>
      </c>
      <c r="D310" s="2">
        <f t="shared" si="29"/>
        <v>58160</v>
      </c>
      <c r="E310" s="12">
        <f t="shared" si="25"/>
        <v>58200</v>
      </c>
      <c r="F310" s="3">
        <f t="shared" si="30"/>
        <v>40</v>
      </c>
    </row>
    <row r="311" spans="1:6" x14ac:dyDescent="0.3">
      <c r="A311" s="1">
        <v>42000</v>
      </c>
      <c r="B311" s="1">
        <f t="shared" si="26"/>
        <v>58719</v>
      </c>
      <c r="C311" s="2">
        <f t="shared" si="31"/>
        <v>4893.25</v>
      </c>
      <c r="D311" s="2">
        <f t="shared" si="29"/>
        <v>58719</v>
      </c>
      <c r="E311" s="12">
        <f t="shared" si="25"/>
        <v>58700</v>
      </c>
      <c r="F311" s="3">
        <f t="shared" si="30"/>
        <v>-19</v>
      </c>
    </row>
    <row r="312" spans="1:6" x14ac:dyDescent="0.3">
      <c r="A312" s="1">
        <v>42700</v>
      </c>
      <c r="B312" s="1">
        <f t="shared" si="26"/>
        <v>59698</v>
      </c>
      <c r="C312" s="2">
        <f t="shared" si="31"/>
        <v>4974.833333333333</v>
      </c>
      <c r="D312" s="2">
        <f t="shared" si="29"/>
        <v>59698</v>
      </c>
      <c r="E312" s="12">
        <f t="shared" ref="E312:E375" si="32">IF(D312&lt;1000,D312,ROUND(D312,-2))</f>
        <v>59700</v>
      </c>
      <c r="F312" s="3">
        <f t="shared" si="30"/>
        <v>2</v>
      </c>
    </row>
    <row r="313" spans="1:6" x14ac:dyDescent="0.3">
      <c r="A313" s="1">
        <v>43300</v>
      </c>
      <c r="B313" s="1">
        <f t="shared" si="26"/>
        <v>60537</v>
      </c>
      <c r="C313" s="2">
        <f t="shared" si="31"/>
        <v>5044.75</v>
      </c>
      <c r="D313" s="2">
        <f t="shared" si="29"/>
        <v>60537</v>
      </c>
      <c r="E313" s="12">
        <f t="shared" si="32"/>
        <v>60500</v>
      </c>
      <c r="F313" s="3">
        <f t="shared" si="30"/>
        <v>-37</v>
      </c>
    </row>
    <row r="314" spans="1:6" x14ac:dyDescent="0.3">
      <c r="A314" s="1">
        <v>43500</v>
      </c>
      <c r="B314" s="1">
        <f t="shared" si="26"/>
        <v>60816</v>
      </c>
      <c r="C314" s="2">
        <f t="shared" si="31"/>
        <v>5068</v>
      </c>
      <c r="D314" s="2">
        <f t="shared" si="29"/>
        <v>60816</v>
      </c>
      <c r="E314" s="12">
        <f t="shared" si="32"/>
        <v>60800</v>
      </c>
      <c r="F314" s="3">
        <f t="shared" si="30"/>
        <v>-16</v>
      </c>
    </row>
    <row r="315" spans="1:6" x14ac:dyDescent="0.3">
      <c r="A315" s="1">
        <v>44000</v>
      </c>
      <c r="B315" s="1">
        <f t="shared" si="26"/>
        <v>61515</v>
      </c>
      <c r="C315" s="2">
        <f t="shared" si="31"/>
        <v>5126.25</v>
      </c>
      <c r="D315" s="2">
        <f t="shared" si="29"/>
        <v>61515</v>
      </c>
      <c r="E315" s="12">
        <f t="shared" si="32"/>
        <v>61500</v>
      </c>
      <c r="F315" s="3">
        <f t="shared" si="30"/>
        <v>-15</v>
      </c>
    </row>
    <row r="316" spans="1:6" x14ac:dyDescent="0.3">
      <c r="A316" s="1">
        <v>44100</v>
      </c>
      <c r="B316" s="1">
        <f t="shared" si="26"/>
        <v>61655</v>
      </c>
      <c r="C316" s="2">
        <f t="shared" si="31"/>
        <v>5137.916666666667</v>
      </c>
      <c r="D316" s="2">
        <f t="shared" si="29"/>
        <v>61655</v>
      </c>
      <c r="E316" s="12">
        <f t="shared" si="32"/>
        <v>61700</v>
      </c>
      <c r="F316" s="3">
        <f t="shared" si="30"/>
        <v>45</v>
      </c>
    </row>
    <row r="317" spans="1:6" x14ac:dyDescent="0.3">
      <c r="A317" s="1">
        <v>44900</v>
      </c>
      <c r="B317" s="1">
        <f t="shared" si="26"/>
        <v>62774</v>
      </c>
      <c r="C317" s="2">
        <f t="shared" si="31"/>
        <v>5231.166666666667</v>
      </c>
      <c r="D317" s="2">
        <f t="shared" si="29"/>
        <v>62774</v>
      </c>
      <c r="E317" s="12">
        <f t="shared" si="32"/>
        <v>62800</v>
      </c>
      <c r="F317" s="3">
        <f t="shared" si="30"/>
        <v>26</v>
      </c>
    </row>
    <row r="318" spans="1:6" x14ac:dyDescent="0.3">
      <c r="A318" s="1">
        <v>45700</v>
      </c>
      <c r="B318" s="1">
        <f t="shared" si="26"/>
        <v>63892</v>
      </c>
      <c r="C318" s="2">
        <f t="shared" si="31"/>
        <v>5324.333333333333</v>
      </c>
      <c r="D318" s="2">
        <f t="shared" si="29"/>
        <v>63892</v>
      </c>
      <c r="E318" s="12">
        <f t="shared" si="32"/>
        <v>63900</v>
      </c>
      <c r="F318" s="3">
        <f t="shared" si="30"/>
        <v>8</v>
      </c>
    </row>
    <row r="319" spans="1:6" x14ac:dyDescent="0.3">
      <c r="A319" s="1">
        <v>46000</v>
      </c>
      <c r="B319" s="1">
        <f t="shared" si="26"/>
        <v>64312</v>
      </c>
      <c r="C319" s="2">
        <f t="shared" si="31"/>
        <v>5359.333333333333</v>
      </c>
      <c r="D319" s="2">
        <f t="shared" si="29"/>
        <v>64312</v>
      </c>
      <c r="E319" s="12">
        <f t="shared" si="32"/>
        <v>64300</v>
      </c>
      <c r="F319" s="3">
        <f t="shared" si="30"/>
        <v>-12</v>
      </c>
    </row>
    <row r="320" spans="1:6" x14ac:dyDescent="0.3">
      <c r="A320" s="1">
        <v>46500</v>
      </c>
      <c r="B320" s="1">
        <f t="shared" si="26"/>
        <v>65011</v>
      </c>
      <c r="C320" s="2">
        <f t="shared" si="31"/>
        <v>5417.583333333333</v>
      </c>
      <c r="D320" s="2">
        <f t="shared" si="29"/>
        <v>65011</v>
      </c>
      <c r="E320" s="12">
        <f t="shared" si="32"/>
        <v>65000</v>
      </c>
      <c r="F320" s="3">
        <f t="shared" si="30"/>
        <v>-11</v>
      </c>
    </row>
    <row r="321" spans="1:6" x14ac:dyDescent="0.3">
      <c r="A321" s="1">
        <v>47000</v>
      </c>
      <c r="B321" s="1">
        <f t="shared" ref="B321:B384" si="33">IF(A321&lt;1000,$B$1*A321,ROUND($B$1*A321,0))</f>
        <v>65710</v>
      </c>
      <c r="C321" s="2">
        <f t="shared" si="31"/>
        <v>5475.833333333333</v>
      </c>
      <c r="D321" s="2">
        <f t="shared" si="29"/>
        <v>65710</v>
      </c>
      <c r="E321" s="12">
        <f t="shared" si="32"/>
        <v>65700</v>
      </c>
      <c r="F321" s="3">
        <f t="shared" si="30"/>
        <v>-10</v>
      </c>
    </row>
    <row r="322" spans="1:6" x14ac:dyDescent="0.3">
      <c r="A322" s="1">
        <v>47200</v>
      </c>
      <c r="B322" s="1">
        <f t="shared" si="33"/>
        <v>65989</v>
      </c>
      <c r="C322" s="2">
        <f t="shared" si="31"/>
        <v>5499.083333333333</v>
      </c>
      <c r="D322" s="2">
        <f t="shared" si="29"/>
        <v>65989</v>
      </c>
      <c r="E322" s="12">
        <f t="shared" si="32"/>
        <v>66000</v>
      </c>
      <c r="F322" s="3">
        <f t="shared" si="30"/>
        <v>11</v>
      </c>
    </row>
    <row r="323" spans="1:6" x14ac:dyDescent="0.3">
      <c r="A323" s="1">
        <v>47700</v>
      </c>
      <c r="B323" s="1">
        <f t="shared" si="33"/>
        <v>66688</v>
      </c>
      <c r="C323" s="2">
        <f t="shared" si="31"/>
        <v>5557.333333333333</v>
      </c>
      <c r="D323" s="2">
        <f t="shared" si="29"/>
        <v>66688</v>
      </c>
      <c r="E323" s="12">
        <f t="shared" si="32"/>
        <v>66700</v>
      </c>
      <c r="F323" s="3">
        <f t="shared" si="30"/>
        <v>12</v>
      </c>
    </row>
    <row r="324" spans="1:6" x14ac:dyDescent="0.3">
      <c r="A324" s="1">
        <v>48000</v>
      </c>
      <c r="B324" s="1">
        <f t="shared" si="33"/>
        <v>67108</v>
      </c>
      <c r="C324" s="2">
        <f t="shared" si="31"/>
        <v>5592.333333333333</v>
      </c>
      <c r="D324" s="2">
        <f t="shared" si="29"/>
        <v>67108</v>
      </c>
      <c r="E324" s="12">
        <f t="shared" si="32"/>
        <v>67100</v>
      </c>
      <c r="F324" s="3">
        <f t="shared" si="30"/>
        <v>-8</v>
      </c>
    </row>
    <row r="325" spans="1:6" x14ac:dyDescent="0.3">
      <c r="A325" s="1">
        <v>48600</v>
      </c>
      <c r="B325" s="1">
        <f t="shared" si="33"/>
        <v>67947</v>
      </c>
      <c r="C325" s="2">
        <f t="shared" si="31"/>
        <v>5662.25</v>
      </c>
      <c r="D325" s="2">
        <f t="shared" si="29"/>
        <v>67947</v>
      </c>
      <c r="E325" s="12">
        <f t="shared" si="32"/>
        <v>67900</v>
      </c>
      <c r="F325" s="3">
        <f t="shared" si="30"/>
        <v>-47</v>
      </c>
    </row>
    <row r="326" spans="1:6" x14ac:dyDescent="0.3">
      <c r="A326" s="1">
        <v>48800</v>
      </c>
      <c r="B326" s="1">
        <f t="shared" si="33"/>
        <v>68226</v>
      </c>
      <c r="C326" s="2">
        <f t="shared" si="31"/>
        <v>5685.5</v>
      </c>
      <c r="D326" s="2">
        <f t="shared" si="29"/>
        <v>68226</v>
      </c>
      <c r="E326" s="12">
        <f t="shared" si="32"/>
        <v>68200</v>
      </c>
      <c r="F326" s="3">
        <f t="shared" si="30"/>
        <v>-26</v>
      </c>
    </row>
    <row r="327" spans="1:6" x14ac:dyDescent="0.3">
      <c r="A327" s="1">
        <v>49900</v>
      </c>
      <c r="B327" s="1">
        <f t="shared" si="33"/>
        <v>69764</v>
      </c>
      <c r="C327" s="2">
        <f t="shared" si="31"/>
        <v>5813.666666666667</v>
      </c>
      <c r="D327" s="2">
        <f t="shared" si="29"/>
        <v>69764</v>
      </c>
      <c r="E327" s="12">
        <f t="shared" si="32"/>
        <v>69800</v>
      </c>
      <c r="F327" s="3">
        <f t="shared" si="30"/>
        <v>36</v>
      </c>
    </row>
    <row r="328" spans="1:6" x14ac:dyDescent="0.3">
      <c r="A328" s="1">
        <v>50000</v>
      </c>
      <c r="B328" s="1">
        <f t="shared" si="33"/>
        <v>69904</v>
      </c>
      <c r="C328" s="2">
        <f t="shared" si="31"/>
        <v>5825.333333333333</v>
      </c>
      <c r="D328" s="2">
        <f t="shared" si="29"/>
        <v>69904</v>
      </c>
      <c r="E328" s="12">
        <f t="shared" si="32"/>
        <v>69900</v>
      </c>
      <c r="F328" s="3">
        <f t="shared" si="30"/>
        <v>-4</v>
      </c>
    </row>
    <row r="329" spans="1:6" x14ac:dyDescent="0.3">
      <c r="A329" s="1">
        <v>51300</v>
      </c>
      <c r="B329" s="1">
        <f t="shared" si="33"/>
        <v>71721</v>
      </c>
      <c r="C329" s="2">
        <f t="shared" si="31"/>
        <v>5976.75</v>
      </c>
      <c r="D329" s="2">
        <f t="shared" si="29"/>
        <v>71721</v>
      </c>
      <c r="E329" s="12">
        <f t="shared" si="32"/>
        <v>71700</v>
      </c>
      <c r="F329" s="3">
        <f t="shared" si="30"/>
        <v>-21</v>
      </c>
    </row>
    <row r="330" spans="1:6" x14ac:dyDescent="0.3">
      <c r="A330" s="1">
        <v>52000</v>
      </c>
      <c r="B330" s="1">
        <f t="shared" si="33"/>
        <v>72700</v>
      </c>
      <c r="C330" s="2">
        <f t="shared" si="31"/>
        <v>6058.333333333333</v>
      </c>
      <c r="D330" s="2">
        <f t="shared" si="29"/>
        <v>72700</v>
      </c>
      <c r="E330" s="12">
        <f t="shared" si="32"/>
        <v>72700</v>
      </c>
      <c r="F330" s="3">
        <f t="shared" si="30"/>
        <v>0</v>
      </c>
    </row>
    <row r="331" spans="1:6" x14ac:dyDescent="0.3">
      <c r="A331" s="1">
        <v>53000</v>
      </c>
      <c r="B331" s="1">
        <f t="shared" si="33"/>
        <v>74098</v>
      </c>
      <c r="C331" s="2">
        <f t="shared" si="31"/>
        <v>6174.833333333333</v>
      </c>
      <c r="D331" s="2">
        <f t="shared" si="29"/>
        <v>74098</v>
      </c>
      <c r="E331" s="12">
        <f t="shared" si="32"/>
        <v>74100</v>
      </c>
      <c r="F331" s="3">
        <f t="shared" si="30"/>
        <v>2</v>
      </c>
    </row>
    <row r="332" spans="1:6" x14ac:dyDescent="0.3">
      <c r="A332" s="1">
        <v>53900</v>
      </c>
      <c r="B332" s="1">
        <f t="shared" si="33"/>
        <v>75356</v>
      </c>
      <c r="C332" s="2">
        <f t="shared" si="31"/>
        <v>6279.666666666667</v>
      </c>
      <c r="D332" s="2">
        <f t="shared" si="29"/>
        <v>75356</v>
      </c>
      <c r="E332" s="12">
        <f t="shared" si="32"/>
        <v>75400</v>
      </c>
      <c r="F332" s="3">
        <f t="shared" si="30"/>
        <v>44</v>
      </c>
    </row>
    <row r="333" spans="1:6" x14ac:dyDescent="0.3">
      <c r="A333" s="1">
        <v>55000</v>
      </c>
      <c r="B333" s="1">
        <f t="shared" si="33"/>
        <v>76894</v>
      </c>
      <c r="C333" s="2">
        <f t="shared" si="31"/>
        <v>6407.833333333333</v>
      </c>
      <c r="D333" s="2">
        <f t="shared" si="29"/>
        <v>76894</v>
      </c>
      <c r="E333" s="12">
        <f t="shared" si="32"/>
        <v>76900</v>
      </c>
      <c r="F333" s="3">
        <f t="shared" si="30"/>
        <v>6</v>
      </c>
    </row>
    <row r="334" spans="1:6" x14ac:dyDescent="0.3">
      <c r="A334" s="1">
        <v>56700</v>
      </c>
      <c r="B334" s="1">
        <f t="shared" si="33"/>
        <v>79271</v>
      </c>
      <c r="C334" s="2">
        <f t="shared" si="31"/>
        <v>6605.916666666667</v>
      </c>
      <c r="D334" s="2">
        <f t="shared" si="29"/>
        <v>79271</v>
      </c>
      <c r="E334" s="12">
        <f t="shared" si="32"/>
        <v>79300</v>
      </c>
      <c r="F334" s="3">
        <f t="shared" si="30"/>
        <v>29</v>
      </c>
    </row>
    <row r="335" spans="1:6" x14ac:dyDescent="0.3">
      <c r="A335" s="1">
        <v>56800</v>
      </c>
      <c r="B335" s="1">
        <f t="shared" si="33"/>
        <v>79411</v>
      </c>
      <c r="C335" s="2">
        <f t="shared" si="31"/>
        <v>6617.583333333333</v>
      </c>
      <c r="D335" s="2">
        <f t="shared" si="29"/>
        <v>79411</v>
      </c>
      <c r="E335" s="12">
        <f t="shared" si="32"/>
        <v>79400</v>
      </c>
      <c r="F335" s="3">
        <f t="shared" si="30"/>
        <v>-11</v>
      </c>
    </row>
    <row r="336" spans="1:6" x14ac:dyDescent="0.3">
      <c r="A336" s="1">
        <v>57000</v>
      </c>
      <c r="B336" s="1">
        <f t="shared" si="33"/>
        <v>79691</v>
      </c>
      <c r="C336" s="2">
        <f t="shared" si="31"/>
        <v>6640.916666666667</v>
      </c>
      <c r="D336" s="2">
        <f t="shared" si="29"/>
        <v>79691</v>
      </c>
      <c r="E336" s="12">
        <f t="shared" si="32"/>
        <v>79700</v>
      </c>
      <c r="F336" s="3">
        <f t="shared" si="30"/>
        <v>9</v>
      </c>
    </row>
    <row r="337" spans="1:6" x14ac:dyDescent="0.3">
      <c r="A337" s="1">
        <v>58700</v>
      </c>
      <c r="B337" s="1">
        <f t="shared" si="33"/>
        <v>82067</v>
      </c>
      <c r="C337" s="2">
        <f t="shared" si="31"/>
        <v>6838.916666666667</v>
      </c>
      <c r="D337" s="2">
        <f t="shared" si="29"/>
        <v>82067</v>
      </c>
      <c r="E337" s="12">
        <f t="shared" si="32"/>
        <v>82100</v>
      </c>
      <c r="F337" s="3">
        <f t="shared" si="30"/>
        <v>33</v>
      </c>
    </row>
    <row r="338" spans="1:6" x14ac:dyDescent="0.3">
      <c r="A338" s="1">
        <v>58800</v>
      </c>
      <c r="B338" s="1">
        <f t="shared" si="33"/>
        <v>82207</v>
      </c>
      <c r="C338" s="2">
        <f t="shared" si="31"/>
        <v>6850.583333333333</v>
      </c>
      <c r="D338" s="2">
        <f t="shared" si="29"/>
        <v>82207</v>
      </c>
      <c r="E338" s="12">
        <f t="shared" si="32"/>
        <v>82200</v>
      </c>
      <c r="F338" s="3">
        <f t="shared" si="30"/>
        <v>-7</v>
      </c>
    </row>
    <row r="339" spans="1:6" x14ac:dyDescent="0.3">
      <c r="A339" s="1">
        <v>59000</v>
      </c>
      <c r="B339" s="1">
        <f t="shared" si="33"/>
        <v>82487</v>
      </c>
      <c r="C339" s="2">
        <f t="shared" si="31"/>
        <v>6873.916666666667</v>
      </c>
      <c r="D339" s="2">
        <f t="shared" si="29"/>
        <v>82487</v>
      </c>
      <c r="E339" s="12">
        <f t="shared" si="32"/>
        <v>82500</v>
      </c>
      <c r="F339" s="3">
        <f t="shared" si="30"/>
        <v>13</v>
      </c>
    </row>
    <row r="340" spans="1:6" x14ac:dyDescent="0.3">
      <c r="A340" s="1">
        <v>59900</v>
      </c>
      <c r="B340" s="1">
        <f t="shared" si="33"/>
        <v>83745</v>
      </c>
      <c r="C340" s="2">
        <f t="shared" si="31"/>
        <v>6978.75</v>
      </c>
      <c r="D340" s="2">
        <f t="shared" si="29"/>
        <v>83745</v>
      </c>
      <c r="E340" s="12">
        <f t="shared" si="32"/>
        <v>83700</v>
      </c>
      <c r="F340" s="3">
        <f t="shared" si="30"/>
        <v>-45</v>
      </c>
    </row>
    <row r="341" spans="1:6" x14ac:dyDescent="0.3">
      <c r="A341" s="1">
        <v>60000</v>
      </c>
      <c r="B341" s="1">
        <f t="shared" si="33"/>
        <v>83885</v>
      </c>
      <c r="C341" s="2">
        <f t="shared" si="31"/>
        <v>6990.416666666667</v>
      </c>
      <c r="D341" s="2">
        <f t="shared" si="29"/>
        <v>83885</v>
      </c>
      <c r="E341" s="12">
        <f t="shared" si="32"/>
        <v>83900</v>
      </c>
      <c r="F341" s="3">
        <f t="shared" si="30"/>
        <v>15</v>
      </c>
    </row>
    <row r="342" spans="1:6" x14ac:dyDescent="0.3">
      <c r="A342" s="1">
        <v>62300</v>
      </c>
      <c r="B342" s="1">
        <f t="shared" si="33"/>
        <v>87100</v>
      </c>
      <c r="C342" s="2">
        <f t="shared" si="31"/>
        <v>7258.333333333333</v>
      </c>
      <c r="D342" s="2">
        <f t="shared" si="29"/>
        <v>87100</v>
      </c>
      <c r="E342" s="12">
        <f t="shared" si="32"/>
        <v>87100</v>
      </c>
      <c r="F342" s="3">
        <f t="shared" si="30"/>
        <v>0</v>
      </c>
    </row>
    <row r="343" spans="1:6" x14ac:dyDescent="0.3">
      <c r="A343" s="1">
        <v>63000</v>
      </c>
      <c r="B343" s="1">
        <f t="shared" si="33"/>
        <v>88079</v>
      </c>
      <c r="C343" s="2">
        <f t="shared" si="31"/>
        <v>7339.916666666667</v>
      </c>
      <c r="D343" s="2">
        <f t="shared" si="29"/>
        <v>88079</v>
      </c>
      <c r="E343" s="12">
        <f t="shared" si="32"/>
        <v>88100</v>
      </c>
      <c r="F343" s="3">
        <f t="shared" si="30"/>
        <v>21</v>
      </c>
    </row>
    <row r="344" spans="1:6" x14ac:dyDescent="0.3">
      <c r="A344" s="1">
        <v>63300</v>
      </c>
      <c r="B344" s="1">
        <f t="shared" si="33"/>
        <v>88498</v>
      </c>
      <c r="C344" s="2">
        <f t="shared" si="31"/>
        <v>7374.833333333333</v>
      </c>
      <c r="D344" s="2">
        <f t="shared" si="29"/>
        <v>88498</v>
      </c>
      <c r="E344" s="12">
        <f t="shared" si="32"/>
        <v>88500</v>
      </c>
      <c r="F344" s="3">
        <f t="shared" si="30"/>
        <v>2</v>
      </c>
    </row>
    <row r="345" spans="1:6" x14ac:dyDescent="0.3">
      <c r="A345" s="1">
        <v>63700</v>
      </c>
      <c r="B345" s="1">
        <f t="shared" si="33"/>
        <v>89058</v>
      </c>
      <c r="C345" s="2">
        <f t="shared" si="31"/>
        <v>7421.5</v>
      </c>
      <c r="D345" s="2">
        <f t="shared" si="29"/>
        <v>89058</v>
      </c>
      <c r="E345" s="12">
        <f t="shared" si="32"/>
        <v>89100</v>
      </c>
      <c r="F345" s="3">
        <f t="shared" si="30"/>
        <v>42</v>
      </c>
    </row>
    <row r="346" spans="1:6" x14ac:dyDescent="0.3">
      <c r="A346" s="1">
        <v>65000</v>
      </c>
      <c r="B346" s="1">
        <f t="shared" si="33"/>
        <v>90875</v>
      </c>
      <c r="C346" s="2">
        <f t="shared" si="31"/>
        <v>7572.916666666667</v>
      </c>
      <c r="D346" s="2">
        <f t="shared" si="29"/>
        <v>90875</v>
      </c>
      <c r="E346" s="12">
        <f t="shared" si="32"/>
        <v>90900</v>
      </c>
      <c r="F346" s="3">
        <f t="shared" si="30"/>
        <v>25</v>
      </c>
    </row>
    <row r="347" spans="1:6" x14ac:dyDescent="0.3">
      <c r="A347" s="1">
        <v>66100</v>
      </c>
      <c r="B347" s="1">
        <f t="shared" si="33"/>
        <v>92413</v>
      </c>
      <c r="C347" s="2">
        <f t="shared" si="31"/>
        <v>7701.083333333333</v>
      </c>
      <c r="D347" s="2">
        <f t="shared" si="29"/>
        <v>92413</v>
      </c>
      <c r="E347" s="12">
        <f t="shared" si="32"/>
        <v>92400</v>
      </c>
      <c r="F347" s="3">
        <f t="shared" si="30"/>
        <v>-13</v>
      </c>
    </row>
    <row r="348" spans="1:6" x14ac:dyDescent="0.3">
      <c r="A348" s="1">
        <v>67000</v>
      </c>
      <c r="B348" s="1">
        <f t="shared" si="33"/>
        <v>93671</v>
      </c>
      <c r="C348" s="2">
        <f t="shared" si="31"/>
        <v>7805.916666666667</v>
      </c>
      <c r="D348" s="2">
        <f t="shared" si="29"/>
        <v>93671</v>
      </c>
      <c r="E348" s="12">
        <f t="shared" si="32"/>
        <v>93700</v>
      </c>
      <c r="F348" s="3">
        <f t="shared" si="30"/>
        <v>29</v>
      </c>
    </row>
    <row r="349" spans="1:6" x14ac:dyDescent="0.3">
      <c r="A349" s="1">
        <v>69600</v>
      </c>
      <c r="B349" s="1">
        <f t="shared" si="33"/>
        <v>97306</v>
      </c>
      <c r="C349" s="2">
        <f t="shared" si="31"/>
        <v>8108.833333333333</v>
      </c>
      <c r="D349" s="2">
        <f t="shared" si="29"/>
        <v>97306</v>
      </c>
      <c r="E349" s="12">
        <f t="shared" si="32"/>
        <v>97300</v>
      </c>
      <c r="F349" s="3">
        <f t="shared" si="30"/>
        <v>-6</v>
      </c>
    </row>
    <row r="350" spans="1:6" x14ac:dyDescent="0.3">
      <c r="A350" s="1">
        <v>70400</v>
      </c>
      <c r="B350" s="1">
        <f t="shared" si="33"/>
        <v>98425</v>
      </c>
      <c r="C350" s="2">
        <f t="shared" si="31"/>
        <v>8202.0833333333339</v>
      </c>
      <c r="D350" s="2">
        <f t="shared" si="29"/>
        <v>98425</v>
      </c>
      <c r="E350" s="12">
        <f t="shared" si="32"/>
        <v>98400</v>
      </c>
      <c r="F350" s="3">
        <f t="shared" si="30"/>
        <v>-25</v>
      </c>
    </row>
    <row r="351" spans="1:6" x14ac:dyDescent="0.3">
      <c r="A351" s="1">
        <v>70800</v>
      </c>
      <c r="B351" s="1">
        <f t="shared" si="33"/>
        <v>98984</v>
      </c>
      <c r="C351" s="2">
        <f t="shared" si="31"/>
        <v>8248.6666666666661</v>
      </c>
      <c r="D351" s="2">
        <f t="shared" si="29"/>
        <v>98984</v>
      </c>
      <c r="E351" s="12">
        <f t="shared" si="32"/>
        <v>99000</v>
      </c>
      <c r="F351" s="3">
        <f t="shared" si="30"/>
        <v>16</v>
      </c>
    </row>
    <row r="352" spans="1:6" x14ac:dyDescent="0.3">
      <c r="A352" s="1">
        <v>71000</v>
      </c>
      <c r="B352" s="1">
        <f t="shared" si="33"/>
        <v>99264</v>
      </c>
      <c r="C352" s="2">
        <f t="shared" si="31"/>
        <v>8272</v>
      </c>
      <c r="D352" s="2">
        <f t="shared" si="29"/>
        <v>99264</v>
      </c>
      <c r="E352" s="12">
        <f t="shared" si="32"/>
        <v>99300</v>
      </c>
      <c r="F352" s="3">
        <f t="shared" si="30"/>
        <v>36</v>
      </c>
    </row>
    <row r="353" spans="1:6" x14ac:dyDescent="0.3">
      <c r="A353" s="1">
        <v>71700</v>
      </c>
      <c r="B353" s="1">
        <f t="shared" si="33"/>
        <v>100242</v>
      </c>
      <c r="C353" s="2">
        <f t="shared" si="31"/>
        <v>8353.5</v>
      </c>
      <c r="D353" s="2">
        <f t="shared" si="29"/>
        <v>100242</v>
      </c>
      <c r="E353" s="12">
        <f t="shared" si="32"/>
        <v>100200</v>
      </c>
      <c r="F353" s="3">
        <f t="shared" si="30"/>
        <v>-42</v>
      </c>
    </row>
    <row r="354" spans="1:6" x14ac:dyDescent="0.3">
      <c r="A354" s="1">
        <v>73400</v>
      </c>
      <c r="B354" s="1">
        <f t="shared" si="33"/>
        <v>102619</v>
      </c>
      <c r="C354" s="2">
        <f t="shared" si="31"/>
        <v>8551.5833333333339</v>
      </c>
      <c r="D354" s="2">
        <f t="shared" si="29"/>
        <v>102619</v>
      </c>
      <c r="E354" s="12">
        <f t="shared" si="32"/>
        <v>102600</v>
      </c>
      <c r="F354" s="3">
        <f t="shared" si="30"/>
        <v>-19</v>
      </c>
    </row>
    <row r="355" spans="1:6" x14ac:dyDescent="0.3">
      <c r="A355" s="1">
        <v>73500</v>
      </c>
      <c r="B355" s="1">
        <f t="shared" si="33"/>
        <v>102759</v>
      </c>
      <c r="C355" s="2">
        <f t="shared" si="31"/>
        <v>8563.25</v>
      </c>
      <c r="D355" s="2">
        <f t="shared" si="29"/>
        <v>102759</v>
      </c>
      <c r="E355" s="12">
        <f t="shared" si="32"/>
        <v>102800</v>
      </c>
      <c r="F355" s="3">
        <f t="shared" si="30"/>
        <v>41</v>
      </c>
    </row>
    <row r="356" spans="1:6" x14ac:dyDescent="0.3">
      <c r="A356" s="1">
        <v>78900</v>
      </c>
      <c r="B356" s="1">
        <f t="shared" si="33"/>
        <v>110308</v>
      </c>
      <c r="C356" s="2">
        <f t="shared" si="31"/>
        <v>9192.3333333333339</v>
      </c>
      <c r="D356" s="2">
        <f t="shared" si="29"/>
        <v>110308</v>
      </c>
      <c r="E356" s="12">
        <f t="shared" si="32"/>
        <v>110300</v>
      </c>
      <c r="F356" s="3">
        <f t="shared" si="30"/>
        <v>-8</v>
      </c>
    </row>
    <row r="357" spans="1:6" x14ac:dyDescent="0.3">
      <c r="A357" s="1">
        <v>80600</v>
      </c>
      <c r="B357" s="1">
        <f t="shared" si="33"/>
        <v>112685</v>
      </c>
      <c r="C357" s="2">
        <f t="shared" si="31"/>
        <v>9390.4166666666661</v>
      </c>
      <c r="D357" s="2">
        <f t="shared" si="29"/>
        <v>112685</v>
      </c>
      <c r="E357" s="12">
        <f t="shared" si="32"/>
        <v>112700</v>
      </c>
      <c r="F357" s="3">
        <f t="shared" si="30"/>
        <v>15</v>
      </c>
    </row>
    <row r="358" spans="1:6" x14ac:dyDescent="0.3">
      <c r="A358" s="1">
        <v>82200</v>
      </c>
      <c r="B358" s="1">
        <f t="shared" si="33"/>
        <v>114922</v>
      </c>
      <c r="C358" s="2">
        <f t="shared" si="31"/>
        <v>9576.8333333333339</v>
      </c>
      <c r="D358" s="2">
        <f t="shared" si="29"/>
        <v>114922</v>
      </c>
      <c r="E358" s="12">
        <f t="shared" si="32"/>
        <v>114900</v>
      </c>
      <c r="F358" s="3">
        <f t="shared" si="30"/>
        <v>-22</v>
      </c>
    </row>
    <row r="359" spans="1:6" x14ac:dyDescent="0.3">
      <c r="A359" s="1">
        <v>82600</v>
      </c>
      <c r="B359" s="1">
        <f t="shared" si="33"/>
        <v>115481</v>
      </c>
      <c r="C359" s="2">
        <f t="shared" si="31"/>
        <v>9623.4166666666661</v>
      </c>
      <c r="D359" s="2">
        <f t="shared" si="29"/>
        <v>115481</v>
      </c>
      <c r="E359" s="12">
        <f t="shared" si="32"/>
        <v>115500</v>
      </c>
      <c r="F359" s="3">
        <f t="shared" si="30"/>
        <v>19</v>
      </c>
    </row>
    <row r="360" spans="1:6" x14ac:dyDescent="0.3">
      <c r="A360" s="1">
        <v>82900</v>
      </c>
      <c r="B360" s="1">
        <f t="shared" si="33"/>
        <v>115901</v>
      </c>
      <c r="C360" s="2">
        <f t="shared" si="31"/>
        <v>9658.4166666666661</v>
      </c>
      <c r="D360" s="2">
        <f t="shared" si="29"/>
        <v>115901</v>
      </c>
      <c r="E360" s="12">
        <f t="shared" si="32"/>
        <v>115900</v>
      </c>
      <c r="F360" s="3">
        <f t="shared" si="30"/>
        <v>-1</v>
      </c>
    </row>
    <row r="361" spans="1:6" x14ac:dyDescent="0.3">
      <c r="A361" s="1">
        <v>83300</v>
      </c>
      <c r="B361" s="1">
        <f t="shared" si="33"/>
        <v>116460</v>
      </c>
      <c r="C361" s="2">
        <f t="shared" si="31"/>
        <v>9705</v>
      </c>
      <c r="D361" s="2">
        <f t="shared" si="29"/>
        <v>116460</v>
      </c>
      <c r="E361" s="12">
        <f t="shared" si="32"/>
        <v>116500</v>
      </c>
      <c r="F361" s="3">
        <f t="shared" si="30"/>
        <v>40</v>
      </c>
    </row>
    <row r="362" spans="1:6" x14ac:dyDescent="0.3">
      <c r="A362" s="1">
        <v>87000</v>
      </c>
      <c r="B362" s="1">
        <f t="shared" si="33"/>
        <v>121633</v>
      </c>
      <c r="C362" s="2">
        <f t="shared" si="31"/>
        <v>10136.083333333334</v>
      </c>
      <c r="D362" s="2">
        <f t="shared" ref="D362:D395" si="34">B362</f>
        <v>121633</v>
      </c>
      <c r="E362" s="12">
        <f t="shared" si="32"/>
        <v>121600</v>
      </c>
      <c r="F362" s="3">
        <f t="shared" ref="F362:F395" si="35">E362-D362</f>
        <v>-33</v>
      </c>
    </row>
    <row r="363" spans="1:6" x14ac:dyDescent="0.3">
      <c r="A363" s="1">
        <v>88100</v>
      </c>
      <c r="B363" s="1">
        <f t="shared" si="33"/>
        <v>123171</v>
      </c>
      <c r="C363" s="2">
        <f t="shared" si="31"/>
        <v>10264.25</v>
      </c>
      <c r="D363" s="2">
        <f t="shared" si="34"/>
        <v>123171</v>
      </c>
      <c r="E363" s="12">
        <f t="shared" si="32"/>
        <v>123200</v>
      </c>
      <c r="F363" s="3">
        <f t="shared" si="35"/>
        <v>29</v>
      </c>
    </row>
    <row r="364" spans="1:6" x14ac:dyDescent="0.3">
      <c r="A364" s="1">
        <v>90600</v>
      </c>
      <c r="B364" s="1">
        <f t="shared" si="33"/>
        <v>126666</v>
      </c>
      <c r="C364" s="2">
        <f t="shared" si="31"/>
        <v>10555.5</v>
      </c>
      <c r="D364" s="2">
        <f t="shared" si="34"/>
        <v>126666</v>
      </c>
      <c r="E364" s="12">
        <f t="shared" si="32"/>
        <v>126700</v>
      </c>
      <c r="F364" s="3">
        <f t="shared" si="35"/>
        <v>34</v>
      </c>
    </row>
    <row r="365" spans="1:6" x14ac:dyDescent="0.3">
      <c r="A365" s="1">
        <v>93200</v>
      </c>
      <c r="B365" s="1">
        <f t="shared" si="33"/>
        <v>130301</v>
      </c>
      <c r="C365" s="2">
        <f t="shared" si="31"/>
        <v>10858.416666666666</v>
      </c>
      <c r="D365" s="2">
        <f t="shared" si="34"/>
        <v>130301</v>
      </c>
      <c r="E365" s="12">
        <f t="shared" si="32"/>
        <v>130300</v>
      </c>
      <c r="F365" s="3">
        <f t="shared" si="35"/>
        <v>-1</v>
      </c>
    </row>
    <row r="366" spans="1:6" x14ac:dyDescent="0.3">
      <c r="A366" s="1">
        <v>93900</v>
      </c>
      <c r="B366" s="1">
        <f t="shared" si="33"/>
        <v>131280</v>
      </c>
      <c r="C366" s="2">
        <f t="shared" si="31"/>
        <v>10940</v>
      </c>
      <c r="D366" s="2">
        <f t="shared" si="34"/>
        <v>131280</v>
      </c>
      <c r="E366" s="12">
        <f t="shared" si="32"/>
        <v>131300</v>
      </c>
      <c r="F366" s="3">
        <f t="shared" si="35"/>
        <v>20</v>
      </c>
    </row>
    <row r="367" spans="1:6" x14ac:dyDescent="0.3">
      <c r="A367" s="1">
        <v>94400</v>
      </c>
      <c r="B367" s="1">
        <f t="shared" si="33"/>
        <v>131979</v>
      </c>
      <c r="C367" s="2">
        <f t="shared" si="31"/>
        <v>10998.25</v>
      </c>
      <c r="D367" s="2">
        <f t="shared" si="34"/>
        <v>131979</v>
      </c>
      <c r="E367" s="12">
        <f t="shared" si="32"/>
        <v>132000</v>
      </c>
      <c r="F367" s="3">
        <f t="shared" si="35"/>
        <v>21</v>
      </c>
    </row>
    <row r="368" spans="1:6" x14ac:dyDescent="0.3">
      <c r="A368" s="1">
        <v>95300</v>
      </c>
      <c r="B368" s="1">
        <f t="shared" si="33"/>
        <v>133237</v>
      </c>
      <c r="C368" s="2">
        <f t="shared" si="31"/>
        <v>11103.083333333334</v>
      </c>
      <c r="D368" s="2">
        <f t="shared" si="34"/>
        <v>133237</v>
      </c>
      <c r="E368" s="12">
        <f t="shared" si="32"/>
        <v>133200</v>
      </c>
      <c r="F368" s="3">
        <f t="shared" si="35"/>
        <v>-37</v>
      </c>
    </row>
    <row r="369" spans="1:6" x14ac:dyDescent="0.3">
      <c r="A369" s="1">
        <v>96200</v>
      </c>
      <c r="B369" s="1">
        <f t="shared" si="33"/>
        <v>134495</v>
      </c>
      <c r="C369" s="2">
        <f t="shared" si="31"/>
        <v>11207.916666666666</v>
      </c>
      <c r="D369" s="2">
        <f t="shared" si="34"/>
        <v>134495</v>
      </c>
      <c r="E369" s="12">
        <f t="shared" si="32"/>
        <v>134500</v>
      </c>
      <c r="F369" s="3">
        <f t="shared" si="35"/>
        <v>5</v>
      </c>
    </row>
    <row r="370" spans="1:6" x14ac:dyDescent="0.3">
      <c r="A370" s="1">
        <v>102700</v>
      </c>
      <c r="B370" s="1">
        <f t="shared" si="33"/>
        <v>143583</v>
      </c>
      <c r="C370" s="2">
        <f t="shared" si="31"/>
        <v>11965.25</v>
      </c>
      <c r="D370" s="2">
        <f t="shared" si="34"/>
        <v>143583</v>
      </c>
      <c r="E370" s="12">
        <f t="shared" si="32"/>
        <v>143600</v>
      </c>
      <c r="F370" s="3">
        <f t="shared" si="35"/>
        <v>17</v>
      </c>
    </row>
    <row r="371" spans="1:6" x14ac:dyDescent="0.3">
      <c r="A371" s="1">
        <v>102800</v>
      </c>
      <c r="B371" s="1">
        <f t="shared" si="33"/>
        <v>143723</v>
      </c>
      <c r="C371" s="2">
        <f t="shared" si="31"/>
        <v>11976.916666666666</v>
      </c>
      <c r="D371" s="2">
        <f t="shared" si="34"/>
        <v>143723</v>
      </c>
      <c r="E371" s="12">
        <f t="shared" si="32"/>
        <v>143700</v>
      </c>
      <c r="F371" s="3">
        <f t="shared" si="35"/>
        <v>-23</v>
      </c>
    </row>
    <row r="372" spans="1:6" x14ac:dyDescent="0.3">
      <c r="A372" s="1">
        <v>104100</v>
      </c>
      <c r="B372" s="1">
        <f t="shared" si="33"/>
        <v>145540</v>
      </c>
      <c r="C372" s="2">
        <f t="shared" si="31"/>
        <v>12128.333333333334</v>
      </c>
      <c r="D372" s="2">
        <f t="shared" si="34"/>
        <v>145540</v>
      </c>
      <c r="E372" s="12">
        <f t="shared" si="32"/>
        <v>145500</v>
      </c>
      <c r="F372" s="3">
        <f t="shared" si="35"/>
        <v>-40</v>
      </c>
    </row>
    <row r="373" spans="1:6" x14ac:dyDescent="0.3">
      <c r="A373" s="1">
        <v>105600</v>
      </c>
      <c r="B373" s="1">
        <f t="shared" si="33"/>
        <v>147637</v>
      </c>
      <c r="C373" s="2">
        <f t="shared" si="31"/>
        <v>12303.083333333334</v>
      </c>
      <c r="D373" s="2">
        <f t="shared" si="34"/>
        <v>147637</v>
      </c>
      <c r="E373" s="12">
        <f t="shared" si="32"/>
        <v>147600</v>
      </c>
      <c r="F373" s="3">
        <f t="shared" si="35"/>
        <v>-37</v>
      </c>
    </row>
    <row r="374" spans="1:6" x14ac:dyDescent="0.3">
      <c r="A374" s="1">
        <v>106100</v>
      </c>
      <c r="B374" s="1">
        <f t="shared" si="33"/>
        <v>148336</v>
      </c>
      <c r="C374" s="2">
        <f t="shared" ref="C374:C395" si="36">VALUE(B374)/12</f>
        <v>12361.333333333334</v>
      </c>
      <c r="D374" s="2">
        <f t="shared" si="34"/>
        <v>148336</v>
      </c>
      <c r="E374" s="12">
        <f t="shared" si="32"/>
        <v>148300</v>
      </c>
      <c r="F374" s="3">
        <f t="shared" si="35"/>
        <v>-36</v>
      </c>
    </row>
    <row r="375" spans="1:6" x14ac:dyDescent="0.3">
      <c r="A375" s="1">
        <v>109400</v>
      </c>
      <c r="B375" s="1">
        <f t="shared" si="33"/>
        <v>152950</v>
      </c>
      <c r="C375" s="2">
        <f t="shared" si="36"/>
        <v>12745.833333333334</v>
      </c>
      <c r="D375" s="2">
        <f t="shared" si="34"/>
        <v>152950</v>
      </c>
      <c r="E375" s="12">
        <f t="shared" si="32"/>
        <v>153000</v>
      </c>
      <c r="F375" s="3">
        <f t="shared" si="35"/>
        <v>50</v>
      </c>
    </row>
    <row r="376" spans="1:6" x14ac:dyDescent="0.3">
      <c r="A376" s="1">
        <v>110000</v>
      </c>
      <c r="B376" s="1">
        <f t="shared" si="33"/>
        <v>153789</v>
      </c>
      <c r="C376" s="2">
        <f t="shared" si="36"/>
        <v>12815.75</v>
      </c>
      <c r="D376" s="2">
        <f t="shared" si="34"/>
        <v>153789</v>
      </c>
      <c r="E376" s="12">
        <f t="shared" ref="E376:E395" si="37">IF(D376&lt;1000,D376,ROUND(D376,-2))</f>
        <v>153800</v>
      </c>
      <c r="F376" s="3">
        <f t="shared" si="35"/>
        <v>11</v>
      </c>
    </row>
    <row r="377" spans="1:6" x14ac:dyDescent="0.3">
      <c r="A377" s="1">
        <v>116200</v>
      </c>
      <c r="B377" s="1">
        <f t="shared" si="33"/>
        <v>162457</v>
      </c>
      <c r="C377" s="2">
        <f t="shared" si="36"/>
        <v>13538.083333333334</v>
      </c>
      <c r="D377" s="2">
        <f t="shared" si="34"/>
        <v>162457</v>
      </c>
      <c r="E377" s="12">
        <f t="shared" si="37"/>
        <v>162500</v>
      </c>
      <c r="F377" s="3">
        <f t="shared" si="35"/>
        <v>43</v>
      </c>
    </row>
    <row r="378" spans="1:6" x14ac:dyDescent="0.3">
      <c r="A378" s="1">
        <v>117300</v>
      </c>
      <c r="B378" s="1">
        <f t="shared" si="33"/>
        <v>163995</v>
      </c>
      <c r="C378" s="2">
        <f t="shared" si="36"/>
        <v>13666.25</v>
      </c>
      <c r="D378" s="2">
        <f t="shared" si="34"/>
        <v>163995</v>
      </c>
      <c r="E378" s="12">
        <f t="shared" si="37"/>
        <v>164000</v>
      </c>
      <c r="F378" s="3">
        <f t="shared" si="35"/>
        <v>5</v>
      </c>
    </row>
    <row r="379" spans="1:6" x14ac:dyDescent="0.3">
      <c r="A379" s="1">
        <v>117400</v>
      </c>
      <c r="B379" s="1">
        <f t="shared" si="33"/>
        <v>164134</v>
      </c>
      <c r="C379" s="2">
        <f t="shared" si="36"/>
        <v>13677.833333333334</v>
      </c>
      <c r="D379" s="2">
        <f t="shared" si="34"/>
        <v>164134</v>
      </c>
      <c r="E379" s="12">
        <f t="shared" si="37"/>
        <v>164100</v>
      </c>
      <c r="F379" s="3">
        <f t="shared" si="35"/>
        <v>-34</v>
      </c>
    </row>
    <row r="380" spans="1:6" x14ac:dyDescent="0.3">
      <c r="A380" s="1">
        <v>118000</v>
      </c>
      <c r="B380" s="1">
        <f t="shared" si="33"/>
        <v>164973</v>
      </c>
      <c r="C380" s="2">
        <f t="shared" si="36"/>
        <v>13747.75</v>
      </c>
      <c r="D380" s="2">
        <f t="shared" si="34"/>
        <v>164973</v>
      </c>
      <c r="E380" s="12">
        <f t="shared" si="37"/>
        <v>165000</v>
      </c>
      <c r="F380" s="3">
        <f t="shared" si="35"/>
        <v>27</v>
      </c>
    </row>
    <row r="381" spans="1:6" x14ac:dyDescent="0.3">
      <c r="A381" s="1">
        <v>118300</v>
      </c>
      <c r="B381" s="1">
        <f t="shared" si="33"/>
        <v>165393</v>
      </c>
      <c r="C381" s="2">
        <f t="shared" si="36"/>
        <v>13782.75</v>
      </c>
      <c r="D381" s="2">
        <f t="shared" si="34"/>
        <v>165393</v>
      </c>
      <c r="E381" s="12">
        <f t="shared" si="37"/>
        <v>165400</v>
      </c>
      <c r="F381" s="3">
        <f t="shared" si="35"/>
        <v>7</v>
      </c>
    </row>
    <row r="382" spans="1:6" x14ac:dyDescent="0.3">
      <c r="A382" s="1">
        <v>123400</v>
      </c>
      <c r="B382" s="1">
        <f t="shared" si="33"/>
        <v>172523</v>
      </c>
      <c r="C382" s="2">
        <f t="shared" si="36"/>
        <v>14376.916666666666</v>
      </c>
      <c r="D382" s="2">
        <f t="shared" si="34"/>
        <v>172523</v>
      </c>
      <c r="E382" s="12">
        <f t="shared" si="37"/>
        <v>172500</v>
      </c>
      <c r="F382" s="3">
        <f t="shared" si="35"/>
        <v>-23</v>
      </c>
    </row>
    <row r="383" spans="1:6" x14ac:dyDescent="0.3">
      <c r="A383" s="1">
        <v>124700</v>
      </c>
      <c r="B383" s="1">
        <f t="shared" si="33"/>
        <v>174340</v>
      </c>
      <c r="C383" s="2">
        <f t="shared" si="36"/>
        <v>14528.333333333334</v>
      </c>
      <c r="D383" s="2">
        <f t="shared" si="34"/>
        <v>174340</v>
      </c>
      <c r="E383" s="12">
        <f t="shared" si="37"/>
        <v>174300</v>
      </c>
      <c r="F383" s="3">
        <f t="shared" si="35"/>
        <v>-40</v>
      </c>
    </row>
    <row r="384" spans="1:6" x14ac:dyDescent="0.3">
      <c r="A384" s="1">
        <v>127100</v>
      </c>
      <c r="B384" s="1">
        <f t="shared" si="33"/>
        <v>177696</v>
      </c>
      <c r="C384" s="2">
        <f t="shared" si="36"/>
        <v>14808</v>
      </c>
      <c r="D384" s="2">
        <f t="shared" si="34"/>
        <v>177696</v>
      </c>
      <c r="E384" s="12">
        <f t="shared" si="37"/>
        <v>177700</v>
      </c>
      <c r="F384" s="3">
        <f t="shared" si="35"/>
        <v>4</v>
      </c>
    </row>
    <row r="385" spans="1:6" x14ac:dyDescent="0.3">
      <c r="A385" s="1">
        <v>129100</v>
      </c>
      <c r="B385" s="1">
        <f t="shared" ref="B385:B395" si="38">IF(A385&lt;1000,$B$1*A385,ROUND($B$1*A385,0))</f>
        <v>180492</v>
      </c>
      <c r="C385" s="2">
        <f t="shared" si="36"/>
        <v>15041</v>
      </c>
      <c r="D385" s="2">
        <f t="shared" si="34"/>
        <v>180492</v>
      </c>
      <c r="E385" s="12">
        <f t="shared" si="37"/>
        <v>180500</v>
      </c>
      <c r="F385" s="3">
        <f t="shared" si="35"/>
        <v>8</v>
      </c>
    </row>
    <row r="386" spans="1:6" x14ac:dyDescent="0.3">
      <c r="A386" s="1">
        <v>129800</v>
      </c>
      <c r="B386" s="1">
        <f t="shared" si="38"/>
        <v>181471</v>
      </c>
      <c r="C386" s="2">
        <f t="shared" si="36"/>
        <v>15122.583333333334</v>
      </c>
      <c r="D386" s="2">
        <f t="shared" si="34"/>
        <v>181471</v>
      </c>
      <c r="E386" s="12">
        <f t="shared" si="37"/>
        <v>181500</v>
      </c>
      <c r="F386" s="3">
        <f t="shared" si="35"/>
        <v>29</v>
      </c>
    </row>
    <row r="387" spans="1:6" x14ac:dyDescent="0.3">
      <c r="A387" s="1">
        <v>130900</v>
      </c>
      <c r="B387" s="1">
        <f t="shared" si="38"/>
        <v>183009</v>
      </c>
      <c r="C387" s="2">
        <f t="shared" si="36"/>
        <v>15250.75</v>
      </c>
      <c r="D387" s="2">
        <f t="shared" si="34"/>
        <v>183009</v>
      </c>
      <c r="E387" s="12">
        <f t="shared" si="37"/>
        <v>183000</v>
      </c>
      <c r="F387" s="3">
        <f t="shared" si="35"/>
        <v>-9</v>
      </c>
    </row>
    <row r="388" spans="1:6" x14ac:dyDescent="0.3">
      <c r="A388" s="1">
        <v>131900</v>
      </c>
      <c r="B388" s="1">
        <f t="shared" si="38"/>
        <v>184407</v>
      </c>
      <c r="C388" s="2">
        <f t="shared" si="36"/>
        <v>15367.25</v>
      </c>
      <c r="D388" s="2">
        <f t="shared" si="34"/>
        <v>184407</v>
      </c>
      <c r="E388" s="12">
        <f t="shared" si="37"/>
        <v>184400</v>
      </c>
      <c r="F388" s="3">
        <f t="shared" si="35"/>
        <v>-7</v>
      </c>
    </row>
    <row r="389" spans="1:6" x14ac:dyDescent="0.3">
      <c r="A389" s="1">
        <v>133400</v>
      </c>
      <c r="B389" s="1">
        <f t="shared" si="38"/>
        <v>186504</v>
      </c>
      <c r="C389" s="2">
        <f t="shared" si="36"/>
        <v>15542</v>
      </c>
      <c r="D389" s="2">
        <f t="shared" si="34"/>
        <v>186504</v>
      </c>
      <c r="E389" s="12">
        <f t="shared" si="37"/>
        <v>186500</v>
      </c>
      <c r="F389" s="3">
        <f t="shared" si="35"/>
        <v>-4</v>
      </c>
    </row>
    <row r="390" spans="1:6" x14ac:dyDescent="0.3">
      <c r="A390" s="1">
        <v>139400</v>
      </c>
      <c r="B390" s="1">
        <f t="shared" si="38"/>
        <v>194892</v>
      </c>
      <c r="C390" s="2">
        <f t="shared" si="36"/>
        <v>16241</v>
      </c>
      <c r="D390" s="2">
        <f t="shared" si="34"/>
        <v>194892</v>
      </c>
      <c r="E390" s="12">
        <f t="shared" si="37"/>
        <v>194900</v>
      </c>
      <c r="F390" s="3">
        <f t="shared" si="35"/>
        <v>8</v>
      </c>
    </row>
    <row r="391" spans="1:6" x14ac:dyDescent="0.3">
      <c r="A391" s="1">
        <v>140900</v>
      </c>
      <c r="B391" s="1">
        <f t="shared" si="38"/>
        <v>196989</v>
      </c>
      <c r="C391" s="2">
        <f t="shared" si="36"/>
        <v>16415.75</v>
      </c>
      <c r="D391" s="2">
        <f t="shared" si="34"/>
        <v>196989</v>
      </c>
      <c r="E391" s="12">
        <f t="shared" si="37"/>
        <v>197000</v>
      </c>
      <c r="F391" s="3">
        <f t="shared" si="35"/>
        <v>11</v>
      </c>
    </row>
    <row r="392" spans="1:6" x14ac:dyDescent="0.3">
      <c r="A392" s="1">
        <v>141600</v>
      </c>
      <c r="B392" s="1">
        <f t="shared" si="38"/>
        <v>197968</v>
      </c>
      <c r="C392" s="2">
        <f t="shared" si="36"/>
        <v>16497.333333333332</v>
      </c>
      <c r="D392" s="2">
        <f t="shared" si="34"/>
        <v>197968</v>
      </c>
      <c r="E392" s="12">
        <f t="shared" si="37"/>
        <v>198000</v>
      </c>
      <c r="F392" s="3">
        <f t="shared" si="35"/>
        <v>32</v>
      </c>
    </row>
    <row r="393" spans="1:6" x14ac:dyDescent="0.3">
      <c r="A393" s="1">
        <v>145000</v>
      </c>
      <c r="B393" s="1">
        <f t="shared" si="38"/>
        <v>202721</v>
      </c>
      <c r="C393" s="2">
        <f t="shared" si="36"/>
        <v>16893.416666666668</v>
      </c>
      <c r="D393" s="2">
        <f t="shared" si="34"/>
        <v>202721</v>
      </c>
      <c r="E393" s="12">
        <f t="shared" si="37"/>
        <v>202700</v>
      </c>
      <c r="F393" s="3">
        <f t="shared" si="35"/>
        <v>-21</v>
      </c>
    </row>
    <row r="394" spans="1:6" x14ac:dyDescent="0.3">
      <c r="A394" s="1">
        <v>146600</v>
      </c>
      <c r="B394" s="1">
        <f t="shared" si="38"/>
        <v>204958</v>
      </c>
      <c r="C394" s="2">
        <f t="shared" si="36"/>
        <v>17079.833333333332</v>
      </c>
      <c r="D394" s="2">
        <f t="shared" si="34"/>
        <v>204958</v>
      </c>
      <c r="E394" s="12">
        <f t="shared" si="37"/>
        <v>205000</v>
      </c>
      <c r="F394" s="3">
        <f t="shared" si="35"/>
        <v>42</v>
      </c>
    </row>
    <row r="395" spans="1:6" x14ac:dyDescent="0.3">
      <c r="A395" s="1">
        <v>147700</v>
      </c>
      <c r="B395" s="1">
        <f t="shared" si="38"/>
        <v>206496</v>
      </c>
      <c r="C395" s="2">
        <f t="shared" si="36"/>
        <v>17208</v>
      </c>
      <c r="D395" s="2">
        <f t="shared" si="34"/>
        <v>206496</v>
      </c>
      <c r="E395" s="12">
        <f t="shared" si="37"/>
        <v>206500</v>
      </c>
      <c r="F395" s="3">
        <f t="shared" si="35"/>
        <v>4</v>
      </c>
    </row>
    <row r="396" spans="1:6" x14ac:dyDescent="0.3">
      <c r="B396" s="1"/>
      <c r="C396" s="2"/>
      <c r="D396" s="2"/>
      <c r="E396" s="12"/>
    </row>
    <row r="397" spans="1:6" x14ac:dyDescent="0.3">
      <c r="B397" s="1"/>
      <c r="C397" s="2"/>
      <c r="D397" s="2"/>
      <c r="E397" s="12"/>
    </row>
    <row r="398" spans="1:6" x14ac:dyDescent="0.3">
      <c r="B398" s="1"/>
      <c r="C398" s="2"/>
      <c r="D398" s="2"/>
      <c r="E398" s="12"/>
    </row>
    <row r="399" spans="1:6" x14ac:dyDescent="0.3">
      <c r="B399" s="1"/>
      <c r="C399" s="2"/>
      <c r="D399" s="2"/>
      <c r="E399" s="12"/>
    </row>
    <row r="400" spans="1:6" x14ac:dyDescent="0.3">
      <c r="B400" s="1"/>
      <c r="C400" s="2"/>
      <c r="D400" s="2"/>
      <c r="E400" s="12"/>
    </row>
    <row r="401" spans="2:5" x14ac:dyDescent="0.3">
      <c r="B401" s="1"/>
      <c r="C401" s="2"/>
      <c r="D401" s="2"/>
      <c r="E401" s="12"/>
    </row>
    <row r="402" spans="2:5" x14ac:dyDescent="0.3">
      <c r="B402" s="1"/>
      <c r="C402" s="2"/>
      <c r="D402" s="2"/>
      <c r="E402" s="12"/>
    </row>
    <row r="403" spans="2:5" x14ac:dyDescent="0.3">
      <c r="B403" s="1"/>
      <c r="C403" s="2"/>
      <c r="D403" s="2"/>
      <c r="E403" s="12"/>
    </row>
    <row r="404" spans="2:5" x14ac:dyDescent="0.3">
      <c r="B404" s="1"/>
      <c r="C404" s="2"/>
      <c r="D404" s="2"/>
      <c r="E404" s="12"/>
    </row>
    <row r="405" spans="2:5" x14ac:dyDescent="0.3">
      <c r="B405" s="1"/>
      <c r="C405" s="2"/>
      <c r="D405" s="2"/>
      <c r="E405" s="12"/>
    </row>
    <row r="406" spans="2:5" x14ac:dyDescent="0.3">
      <c r="B406" s="1"/>
      <c r="C406" s="2"/>
      <c r="D406" s="2"/>
      <c r="E406" s="12"/>
    </row>
    <row r="407" spans="2:5" x14ac:dyDescent="0.3">
      <c r="B407" s="1"/>
      <c r="C407" s="2"/>
      <c r="D407" s="2"/>
      <c r="E407" s="12"/>
    </row>
    <row r="408" spans="2:5" x14ac:dyDescent="0.3">
      <c r="B408" s="1"/>
      <c r="C408" s="2"/>
      <c r="D408" s="2"/>
      <c r="E408" s="12"/>
    </row>
    <row r="409" spans="2:5" x14ac:dyDescent="0.3">
      <c r="B409" s="1"/>
      <c r="C409" s="2"/>
      <c r="D409" s="2"/>
      <c r="E409" s="12"/>
    </row>
    <row r="410" spans="2:5" x14ac:dyDescent="0.3">
      <c r="B410" s="1"/>
      <c r="C410" s="2"/>
      <c r="D410" s="2"/>
      <c r="E410" s="12"/>
    </row>
    <row r="411" spans="2:5" x14ac:dyDescent="0.3">
      <c r="B411" s="1"/>
      <c r="C411" s="2"/>
      <c r="D411" s="2"/>
      <c r="E411" s="12"/>
    </row>
    <row r="412" spans="2:5" x14ac:dyDescent="0.3">
      <c r="B412" s="1"/>
      <c r="C412" s="2"/>
      <c r="D412" s="2"/>
      <c r="E412" s="12"/>
    </row>
    <row r="413" spans="2:5" x14ac:dyDescent="0.3">
      <c r="B413" s="1"/>
      <c r="C413" s="2"/>
      <c r="D413" s="2"/>
      <c r="E413" s="12"/>
    </row>
    <row r="414" spans="2:5" x14ac:dyDescent="0.3">
      <c r="B414" s="1"/>
      <c r="C414" s="2"/>
      <c r="D414" s="2"/>
      <c r="E414" s="12"/>
    </row>
    <row r="415" spans="2:5" x14ac:dyDescent="0.3">
      <c r="B415" s="1"/>
      <c r="C415" s="2"/>
      <c r="D415" s="2"/>
      <c r="E415" s="12"/>
    </row>
    <row r="416" spans="2:5" x14ac:dyDescent="0.3">
      <c r="B416" s="1"/>
      <c r="C416" s="2"/>
      <c r="D416" s="2"/>
      <c r="E416" s="12"/>
    </row>
    <row r="417" spans="2:5" x14ac:dyDescent="0.3">
      <c r="B417" s="1"/>
      <c r="C417" s="2"/>
      <c r="D417" s="2"/>
      <c r="E417" s="12"/>
    </row>
    <row r="418" spans="2:5" x14ac:dyDescent="0.3">
      <c r="B418" s="1"/>
      <c r="C418" s="2"/>
      <c r="D418" s="2"/>
      <c r="E418" s="12"/>
    </row>
    <row r="419" spans="2:5" x14ac:dyDescent="0.3">
      <c r="B419" s="1"/>
      <c r="C419" s="2"/>
      <c r="D419" s="2"/>
      <c r="E419" s="12"/>
    </row>
    <row r="420" spans="2:5" x14ac:dyDescent="0.3">
      <c r="B420" s="1"/>
      <c r="C420" s="2"/>
      <c r="D420" s="2"/>
      <c r="E420" s="12"/>
    </row>
    <row r="421" spans="2:5" x14ac:dyDescent="0.3">
      <c r="B421" s="1"/>
      <c r="C421" s="2"/>
      <c r="D421" s="2"/>
      <c r="E421" s="12"/>
    </row>
    <row r="422" spans="2:5" x14ac:dyDescent="0.3">
      <c r="B422" s="1"/>
      <c r="C422" s="2"/>
      <c r="D422" s="2"/>
      <c r="E422" s="12"/>
    </row>
    <row r="423" spans="2:5" x14ac:dyDescent="0.3">
      <c r="B423" s="1"/>
      <c r="C423" s="2"/>
      <c r="D423" s="2"/>
      <c r="E423" s="12"/>
    </row>
    <row r="424" spans="2:5" x14ac:dyDescent="0.3">
      <c r="B424" s="1"/>
      <c r="C424" s="2"/>
      <c r="D424" s="2"/>
      <c r="E424" s="12"/>
    </row>
    <row r="425" spans="2:5" x14ac:dyDescent="0.3">
      <c r="B425" s="1"/>
      <c r="C425" s="2"/>
      <c r="D425" s="2"/>
      <c r="E425" s="12"/>
    </row>
    <row r="426" spans="2:5" x14ac:dyDescent="0.3">
      <c r="B426" s="1"/>
      <c r="C426" s="2"/>
      <c r="D426" s="2"/>
      <c r="E426" s="12"/>
    </row>
    <row r="427" spans="2:5" x14ac:dyDescent="0.3">
      <c r="B427" s="1"/>
      <c r="C427" s="2"/>
      <c r="D427" s="2"/>
      <c r="E427" s="12"/>
    </row>
    <row r="428" spans="2:5" x14ac:dyDescent="0.3">
      <c r="B428" s="1"/>
      <c r="C428" s="2"/>
      <c r="D428" s="2"/>
      <c r="E428" s="12"/>
    </row>
    <row r="429" spans="2:5" x14ac:dyDescent="0.3">
      <c r="B429" s="1"/>
      <c r="C429" s="2"/>
      <c r="D429" s="2"/>
      <c r="E429" s="12"/>
    </row>
    <row r="430" spans="2:5" x14ac:dyDescent="0.3">
      <c r="B430" s="1"/>
      <c r="C430" s="2"/>
      <c r="D430" s="2"/>
      <c r="E430" s="12"/>
    </row>
    <row r="431" spans="2:5" x14ac:dyDescent="0.3">
      <c r="B431" s="1"/>
      <c r="C431" s="2"/>
      <c r="D431" s="2"/>
      <c r="E431" s="12"/>
    </row>
    <row r="432" spans="2:5" x14ac:dyDescent="0.3">
      <c r="B432" s="1"/>
      <c r="C432" s="2"/>
      <c r="D432" s="2"/>
      <c r="E432" s="12"/>
    </row>
    <row r="433" spans="2:5" x14ac:dyDescent="0.3">
      <c r="B433" s="1"/>
      <c r="C433" s="2"/>
      <c r="D433" s="2"/>
      <c r="E433" s="12"/>
    </row>
    <row r="434" spans="2:5" x14ac:dyDescent="0.3">
      <c r="B434" s="1"/>
      <c r="C434" s="2"/>
      <c r="D434" s="2"/>
      <c r="E434" s="12"/>
    </row>
    <row r="435" spans="2:5" x14ac:dyDescent="0.3">
      <c r="B435" s="1"/>
      <c r="C435" s="2"/>
      <c r="D435" s="2"/>
      <c r="E435" s="12"/>
    </row>
    <row r="436" spans="2:5" x14ac:dyDescent="0.3">
      <c r="B436" s="1"/>
      <c r="C436" s="2"/>
      <c r="D436" s="2"/>
      <c r="E436" s="12"/>
    </row>
    <row r="437" spans="2:5" x14ac:dyDescent="0.3">
      <c r="B437" s="1"/>
      <c r="C437" s="2"/>
      <c r="D437" s="2"/>
      <c r="E437" s="12"/>
    </row>
    <row r="438" spans="2:5" x14ac:dyDescent="0.3">
      <c r="B438" s="1"/>
      <c r="C438" s="2"/>
      <c r="D438" s="2"/>
      <c r="E438" s="12"/>
    </row>
    <row r="439" spans="2:5" x14ac:dyDescent="0.3">
      <c r="B439" s="1"/>
      <c r="C439" s="2"/>
      <c r="D439" s="2"/>
      <c r="E439" s="12"/>
    </row>
    <row r="440" spans="2:5" x14ac:dyDescent="0.3">
      <c r="B440" s="1"/>
      <c r="C440" s="2"/>
      <c r="D440" s="2"/>
      <c r="E440" s="12"/>
    </row>
    <row r="441" spans="2:5" x14ac:dyDescent="0.3">
      <c r="B441" s="1"/>
      <c r="C441" s="2"/>
      <c r="D441" s="2"/>
      <c r="E441" s="12"/>
    </row>
    <row r="442" spans="2:5" x14ac:dyDescent="0.3">
      <c r="B442" s="1"/>
      <c r="C442" s="2"/>
      <c r="D442" s="2"/>
      <c r="E442" s="12"/>
    </row>
    <row r="443" spans="2:5" x14ac:dyDescent="0.3">
      <c r="B443" s="1"/>
      <c r="C443" s="2"/>
      <c r="D443" s="2"/>
      <c r="E443" s="12"/>
    </row>
    <row r="444" spans="2:5" x14ac:dyDescent="0.3">
      <c r="B444" s="1"/>
      <c r="C444" s="2"/>
      <c r="D444" s="2"/>
      <c r="E444" s="12"/>
    </row>
    <row r="445" spans="2:5" x14ac:dyDescent="0.3">
      <c r="B445" s="1"/>
      <c r="C445" s="2"/>
      <c r="D445" s="2"/>
      <c r="E445" s="12"/>
    </row>
    <row r="446" spans="2:5" x14ac:dyDescent="0.3">
      <c r="B446" s="1"/>
      <c r="C446" s="2"/>
      <c r="D446" s="2"/>
      <c r="E446" s="12"/>
    </row>
    <row r="447" spans="2:5" x14ac:dyDescent="0.3">
      <c r="B447" s="1"/>
      <c r="C447" s="2"/>
      <c r="D447" s="2"/>
      <c r="E447" s="12"/>
    </row>
    <row r="448" spans="2:5" x14ac:dyDescent="0.3">
      <c r="B448" s="1"/>
      <c r="C448" s="2"/>
      <c r="D448" s="2"/>
      <c r="E448" s="12"/>
    </row>
    <row r="449" spans="2:5" x14ac:dyDescent="0.3">
      <c r="B449" s="1"/>
      <c r="C449" s="2"/>
      <c r="D449" s="2"/>
      <c r="E449" s="12"/>
    </row>
    <row r="450" spans="2:5" x14ac:dyDescent="0.3">
      <c r="B450" s="1"/>
      <c r="C450" s="2"/>
      <c r="D450" s="2"/>
      <c r="E450" s="12"/>
    </row>
    <row r="451" spans="2:5" x14ac:dyDescent="0.3">
      <c r="B451" s="1"/>
      <c r="C451" s="2"/>
      <c r="D451" s="2"/>
      <c r="E451" s="12"/>
    </row>
    <row r="452" spans="2:5" x14ac:dyDescent="0.3">
      <c r="B452" s="1"/>
      <c r="C452" s="2"/>
      <c r="D452" s="2"/>
      <c r="E452" s="12"/>
    </row>
    <row r="453" spans="2:5" x14ac:dyDescent="0.3">
      <c r="B453" s="1"/>
      <c r="C453" s="2"/>
      <c r="D453" s="2"/>
      <c r="E453" s="12"/>
    </row>
    <row r="454" spans="2:5" x14ac:dyDescent="0.3">
      <c r="B454" s="1"/>
      <c r="C454" s="2"/>
      <c r="D454" s="2"/>
      <c r="E454" s="12"/>
    </row>
    <row r="455" spans="2:5" x14ac:dyDescent="0.3">
      <c r="B455" s="1"/>
      <c r="C455" s="2"/>
      <c r="D455" s="2"/>
      <c r="E455" s="12"/>
    </row>
    <row r="456" spans="2:5" x14ac:dyDescent="0.3">
      <c r="B456" s="1"/>
      <c r="C456" s="2"/>
      <c r="D456" s="2"/>
      <c r="E456" s="12"/>
    </row>
    <row r="457" spans="2:5" x14ac:dyDescent="0.3">
      <c r="B457" s="1"/>
      <c r="C457" s="2"/>
      <c r="D457" s="2"/>
      <c r="E457" s="12"/>
    </row>
    <row r="458" spans="2:5" x14ac:dyDescent="0.3">
      <c r="B458" s="1"/>
      <c r="C458" s="2"/>
      <c r="D458" s="2"/>
      <c r="E458" s="12"/>
    </row>
    <row r="459" spans="2:5" x14ac:dyDescent="0.3">
      <c r="B459" s="1"/>
      <c r="C459" s="2"/>
      <c r="D459" s="2"/>
      <c r="E459" s="12"/>
    </row>
    <row r="460" spans="2:5" x14ac:dyDescent="0.3">
      <c r="B460" s="1"/>
      <c r="C460" s="2"/>
      <c r="D460" s="2"/>
      <c r="E460" s="12"/>
    </row>
    <row r="461" spans="2:5" x14ac:dyDescent="0.3">
      <c r="B461" s="1"/>
      <c r="C461" s="2"/>
      <c r="D461" s="2"/>
      <c r="E461" s="12"/>
    </row>
    <row r="462" spans="2:5" x14ac:dyDescent="0.3">
      <c r="B462" s="1"/>
      <c r="C462" s="2"/>
      <c r="D462" s="2"/>
      <c r="E462" s="12"/>
    </row>
    <row r="463" spans="2:5" x14ac:dyDescent="0.3">
      <c r="B463" s="1"/>
      <c r="C463" s="2"/>
      <c r="D463" s="2"/>
      <c r="E463" s="12"/>
    </row>
    <row r="464" spans="2:5" x14ac:dyDescent="0.3">
      <c r="B464" s="1"/>
      <c r="C464" s="2"/>
      <c r="D464" s="2"/>
      <c r="E464" s="12"/>
    </row>
    <row r="465" spans="2:5" x14ac:dyDescent="0.3">
      <c r="B465" s="1"/>
      <c r="C465" s="2"/>
      <c r="D465" s="2"/>
      <c r="E465" s="12"/>
    </row>
    <row r="466" spans="2:5" x14ac:dyDescent="0.3">
      <c r="B466" s="1"/>
      <c r="C466" s="2"/>
      <c r="D466" s="2"/>
      <c r="E466" s="12"/>
    </row>
    <row r="467" spans="2:5" x14ac:dyDescent="0.3">
      <c r="B467" s="1"/>
      <c r="C467" s="2"/>
      <c r="D467" s="2"/>
      <c r="E467" s="12"/>
    </row>
    <row r="468" spans="2:5" x14ac:dyDescent="0.3">
      <c r="B468" s="1"/>
      <c r="C468" s="2"/>
      <c r="D468" s="2"/>
      <c r="E468" s="12"/>
    </row>
    <row r="469" spans="2:5" x14ac:dyDescent="0.3">
      <c r="B469" s="1"/>
      <c r="C469" s="2"/>
      <c r="D469" s="2"/>
      <c r="E469" s="12"/>
    </row>
    <row r="470" spans="2:5" x14ac:dyDescent="0.3">
      <c r="B470" s="1"/>
      <c r="C470" s="2"/>
      <c r="D470" s="2"/>
      <c r="E470" s="12"/>
    </row>
    <row r="471" spans="2:5" x14ac:dyDescent="0.3">
      <c r="B471" s="1"/>
      <c r="C471" s="2"/>
      <c r="D471" s="2"/>
      <c r="E471" s="12"/>
    </row>
    <row r="472" spans="2:5" x14ac:dyDescent="0.3">
      <c r="B472" s="1"/>
      <c r="C472" s="2"/>
      <c r="D472" s="2"/>
      <c r="E472" s="12"/>
    </row>
    <row r="473" spans="2:5" x14ac:dyDescent="0.3">
      <c r="B473" s="1"/>
      <c r="C473" s="2"/>
      <c r="D473" s="2"/>
      <c r="E473" s="12"/>
    </row>
    <row r="474" spans="2:5" x14ac:dyDescent="0.3">
      <c r="B474" s="1"/>
      <c r="C474" s="2"/>
      <c r="D474" s="2"/>
      <c r="E474" s="12"/>
    </row>
    <row r="475" spans="2:5" x14ac:dyDescent="0.3">
      <c r="B475" s="1"/>
      <c r="C475" s="2"/>
      <c r="D475" s="2"/>
      <c r="E475" s="12"/>
    </row>
    <row r="476" spans="2:5" x14ac:dyDescent="0.3">
      <c r="B476" s="1"/>
      <c r="C476" s="2"/>
      <c r="D476" s="2"/>
      <c r="E476" s="12"/>
    </row>
    <row r="477" spans="2:5" x14ac:dyDescent="0.3">
      <c r="B477" s="1"/>
      <c r="C477" s="2"/>
      <c r="D477" s="2"/>
      <c r="E477" s="12"/>
    </row>
    <row r="478" spans="2:5" x14ac:dyDescent="0.3">
      <c r="B478" s="1"/>
      <c r="C478" s="2"/>
      <c r="D478" s="2"/>
      <c r="E478" s="12"/>
    </row>
    <row r="479" spans="2:5" x14ac:dyDescent="0.3">
      <c r="B479" s="1"/>
      <c r="C479" s="2"/>
      <c r="D479" s="2"/>
      <c r="E479" s="12"/>
    </row>
    <row r="480" spans="2:5" x14ac:dyDescent="0.3">
      <c r="B480" s="1"/>
      <c r="C480" s="2"/>
      <c r="D480" s="2"/>
      <c r="E480" s="12"/>
    </row>
    <row r="481" spans="2:5" x14ac:dyDescent="0.3">
      <c r="B481" s="1"/>
      <c r="C481" s="2"/>
      <c r="D481" s="2"/>
      <c r="E481" s="12"/>
    </row>
    <row r="482" spans="2:5" x14ac:dyDescent="0.3">
      <c r="B482" s="1"/>
      <c r="C482" s="2"/>
      <c r="D482" s="2"/>
      <c r="E482" s="12"/>
    </row>
    <row r="483" spans="2:5" x14ac:dyDescent="0.3">
      <c r="B483" s="1"/>
      <c r="C483" s="2"/>
      <c r="D483" s="2"/>
      <c r="E483" s="12"/>
    </row>
    <row r="484" spans="2:5" x14ac:dyDescent="0.3">
      <c r="B484" s="1"/>
      <c r="C484" s="2"/>
      <c r="D484" s="2"/>
      <c r="E484" s="12"/>
    </row>
    <row r="485" spans="2:5" x14ac:dyDescent="0.3">
      <c r="B485" s="1"/>
      <c r="C485" s="2"/>
      <c r="D485" s="2"/>
      <c r="E485" s="12"/>
    </row>
    <row r="486" spans="2:5" x14ac:dyDescent="0.3">
      <c r="B486" s="1"/>
      <c r="C486" s="2"/>
      <c r="D486" s="2"/>
      <c r="E486" s="12"/>
    </row>
    <row r="487" spans="2:5" x14ac:dyDescent="0.3">
      <c r="B487" s="1"/>
      <c r="C487" s="2"/>
      <c r="D487" s="2"/>
      <c r="E487" s="12"/>
    </row>
    <row r="488" spans="2:5" x14ac:dyDescent="0.3">
      <c r="B488" s="1"/>
      <c r="C488" s="2"/>
      <c r="D488" s="2"/>
      <c r="E488" s="12"/>
    </row>
    <row r="489" spans="2:5" x14ac:dyDescent="0.3">
      <c r="B489" s="1"/>
      <c r="C489" s="2"/>
      <c r="D489" s="2"/>
      <c r="E489" s="12"/>
    </row>
    <row r="490" spans="2:5" x14ac:dyDescent="0.3">
      <c r="B490" s="1"/>
      <c r="C490" s="2"/>
      <c r="D490" s="2"/>
      <c r="E490" s="12"/>
    </row>
    <row r="491" spans="2:5" x14ac:dyDescent="0.3">
      <c r="B491" s="1"/>
      <c r="C491" s="2"/>
      <c r="D491" s="2"/>
      <c r="E491" s="12"/>
    </row>
    <row r="492" spans="2:5" x14ac:dyDescent="0.3">
      <c r="B492" s="1"/>
      <c r="C492" s="2"/>
      <c r="D492" s="2"/>
      <c r="E492" s="12"/>
    </row>
    <row r="493" spans="2:5" x14ac:dyDescent="0.3">
      <c r="B493" s="1"/>
      <c r="C493" s="2"/>
      <c r="D493" s="2"/>
      <c r="E493" s="12"/>
    </row>
    <row r="494" spans="2:5" x14ac:dyDescent="0.3">
      <c r="B494" s="1"/>
      <c r="C494" s="2"/>
      <c r="D494" s="2"/>
      <c r="E494" s="12"/>
    </row>
    <row r="495" spans="2:5" x14ac:dyDescent="0.3">
      <c r="B495" s="1"/>
      <c r="C495" s="2"/>
      <c r="D495" s="2"/>
      <c r="E495" s="12"/>
    </row>
    <row r="496" spans="2:5" x14ac:dyDescent="0.3">
      <c r="B496" s="1"/>
      <c r="C496" s="2"/>
      <c r="D496" s="2"/>
      <c r="E496" s="12"/>
    </row>
    <row r="497" spans="2:5" x14ac:dyDescent="0.3">
      <c r="B497" s="1"/>
      <c r="C497" s="2"/>
      <c r="D497" s="2"/>
      <c r="E497" s="12"/>
    </row>
    <row r="498" spans="2:5" x14ac:dyDescent="0.3">
      <c r="B498" s="1"/>
      <c r="C498" s="2"/>
      <c r="D498" s="2"/>
      <c r="E498" s="12"/>
    </row>
    <row r="499" spans="2:5" x14ac:dyDescent="0.3">
      <c r="B499" s="1"/>
      <c r="C499" s="2"/>
      <c r="D499" s="2"/>
      <c r="E499" s="12"/>
    </row>
    <row r="500" spans="2:5" x14ac:dyDescent="0.3">
      <c r="B500" s="1"/>
      <c r="C500" s="2"/>
      <c r="D500" s="2"/>
      <c r="E500" s="12"/>
    </row>
    <row r="501" spans="2:5" x14ac:dyDescent="0.3">
      <c r="B501" s="1"/>
      <c r="C501" s="2"/>
      <c r="D501" s="2"/>
      <c r="E501" s="12"/>
    </row>
    <row r="502" spans="2:5" x14ac:dyDescent="0.3">
      <c r="B502" s="1"/>
      <c r="C502" s="2"/>
      <c r="D502" s="2"/>
      <c r="E502" s="12"/>
    </row>
    <row r="503" spans="2:5" x14ac:dyDescent="0.3">
      <c r="B503" s="1"/>
      <c r="C503" s="2"/>
      <c r="D503" s="2"/>
      <c r="E503" s="12"/>
    </row>
    <row r="504" spans="2:5" x14ac:dyDescent="0.3">
      <c r="B504" s="1"/>
      <c r="C504" s="2"/>
      <c r="D504" s="2"/>
      <c r="E504" s="12"/>
    </row>
    <row r="505" spans="2:5" x14ac:dyDescent="0.3">
      <c r="B505" s="1"/>
      <c r="C505" s="2"/>
      <c r="D505" s="2"/>
      <c r="E505" s="12"/>
    </row>
    <row r="506" spans="2:5" x14ac:dyDescent="0.3">
      <c r="B506" s="1"/>
      <c r="C506" s="2"/>
      <c r="D506" s="2"/>
      <c r="E506" s="12"/>
    </row>
    <row r="507" spans="2:5" x14ac:dyDescent="0.3">
      <c r="B507" s="1"/>
      <c r="C507" s="2"/>
      <c r="D507" s="2"/>
      <c r="E507" s="12"/>
    </row>
    <row r="508" spans="2:5" x14ac:dyDescent="0.3">
      <c r="B508" s="1"/>
      <c r="C508" s="2"/>
      <c r="D508" s="2"/>
      <c r="E508" s="12"/>
    </row>
    <row r="509" spans="2:5" x14ac:dyDescent="0.3">
      <c r="B509" s="1"/>
      <c r="C509" s="2"/>
      <c r="D509" s="2"/>
      <c r="E509" s="12"/>
    </row>
    <row r="510" spans="2:5" x14ac:dyDescent="0.3">
      <c r="B510" s="1"/>
      <c r="C510" s="2"/>
      <c r="D510" s="2"/>
      <c r="E510" s="12"/>
    </row>
    <row r="511" spans="2:5" x14ac:dyDescent="0.3">
      <c r="B511" s="1"/>
      <c r="C511" s="2"/>
      <c r="D511" s="2"/>
      <c r="E511" s="12"/>
    </row>
    <row r="512" spans="2:5" x14ac:dyDescent="0.3">
      <c r="B512" s="1"/>
      <c r="C512" s="2"/>
      <c r="D512" s="2"/>
      <c r="E512" s="12"/>
    </row>
    <row r="513" spans="2:5" x14ac:dyDescent="0.3">
      <c r="B513" s="1"/>
      <c r="C513" s="2"/>
      <c r="D513" s="2"/>
      <c r="E513" s="12"/>
    </row>
    <row r="514" spans="2:5" x14ac:dyDescent="0.3">
      <c r="B514" s="1"/>
      <c r="C514" s="2"/>
      <c r="D514" s="2"/>
      <c r="E514" s="12"/>
    </row>
    <row r="515" spans="2:5" x14ac:dyDescent="0.3">
      <c r="B515" s="1"/>
      <c r="C515" s="2"/>
      <c r="D515" s="2"/>
      <c r="E515" s="12"/>
    </row>
    <row r="516" spans="2:5" x14ac:dyDescent="0.3">
      <c r="B516" s="1"/>
      <c r="C516" s="2"/>
      <c r="D516" s="2"/>
      <c r="E516" s="12"/>
    </row>
    <row r="517" spans="2:5" x14ac:dyDescent="0.3">
      <c r="B517" s="1"/>
      <c r="C517" s="2"/>
      <c r="D517" s="2"/>
      <c r="E517" s="12"/>
    </row>
    <row r="518" spans="2:5" x14ac:dyDescent="0.3">
      <c r="B518" s="1"/>
      <c r="C518" s="2"/>
      <c r="D518" s="2"/>
      <c r="E518" s="12"/>
    </row>
    <row r="519" spans="2:5" x14ac:dyDescent="0.3">
      <c r="B519" s="1"/>
      <c r="C519" s="2"/>
      <c r="D519" s="2"/>
      <c r="E519" s="12"/>
    </row>
    <row r="520" spans="2:5" x14ac:dyDescent="0.3">
      <c r="B520" s="1"/>
      <c r="C520" s="2"/>
      <c r="D520" s="2"/>
      <c r="E520" s="12"/>
    </row>
    <row r="521" spans="2:5" x14ac:dyDescent="0.3">
      <c r="B521" s="1"/>
      <c r="C521" s="2"/>
      <c r="D521" s="2"/>
      <c r="E521" s="12"/>
    </row>
    <row r="522" spans="2:5" x14ac:dyDescent="0.3">
      <c r="B522" s="1"/>
      <c r="C522" s="2"/>
      <c r="D522" s="2"/>
      <c r="E522" s="12"/>
    </row>
    <row r="523" spans="2:5" x14ac:dyDescent="0.3">
      <c r="B523" s="1"/>
      <c r="C523" s="2"/>
      <c r="D523" s="2"/>
      <c r="E523" s="12"/>
    </row>
    <row r="524" spans="2:5" x14ac:dyDescent="0.3">
      <c r="B524" s="1"/>
      <c r="C524" s="2"/>
      <c r="D524" s="2"/>
      <c r="E524" s="12"/>
    </row>
    <row r="525" spans="2:5" x14ac:dyDescent="0.3">
      <c r="B525" s="1"/>
      <c r="C525" s="2"/>
      <c r="D525" s="2"/>
      <c r="E525" s="12"/>
    </row>
    <row r="526" spans="2:5" x14ac:dyDescent="0.3">
      <c r="B526" s="1"/>
      <c r="C526" s="2"/>
      <c r="D526" s="2"/>
      <c r="E526" s="12"/>
    </row>
    <row r="527" spans="2:5" x14ac:dyDescent="0.3">
      <c r="B527" s="1"/>
      <c r="C527" s="2"/>
      <c r="D527" s="2"/>
      <c r="E527" s="12"/>
    </row>
    <row r="528" spans="2:5" x14ac:dyDescent="0.3">
      <c r="B528" s="1"/>
      <c r="C528" s="2"/>
      <c r="D528" s="2"/>
      <c r="E528" s="12"/>
    </row>
    <row r="529" spans="2:5" x14ac:dyDescent="0.3">
      <c r="B529" s="1"/>
      <c r="C529" s="2"/>
      <c r="D529" s="2"/>
      <c r="E529" s="12"/>
    </row>
    <row r="530" spans="2:5" x14ac:dyDescent="0.3">
      <c r="B530" s="1"/>
      <c r="C530" s="2"/>
      <c r="D530" s="2"/>
      <c r="E530" s="12"/>
    </row>
    <row r="531" spans="2:5" x14ac:dyDescent="0.3">
      <c r="B531" s="1"/>
      <c r="C531" s="2"/>
      <c r="D531" s="2"/>
      <c r="E531" s="12"/>
    </row>
    <row r="532" spans="2:5" x14ac:dyDescent="0.3">
      <c r="B532" s="1"/>
      <c r="C532" s="2"/>
      <c r="D532" s="2"/>
      <c r="E532" s="12"/>
    </row>
    <row r="533" spans="2:5" x14ac:dyDescent="0.3">
      <c r="B533" s="1"/>
      <c r="C533" s="2"/>
      <c r="D533" s="2"/>
      <c r="E533" s="12"/>
    </row>
    <row r="534" spans="2:5" x14ac:dyDescent="0.3">
      <c r="B534" s="1"/>
      <c r="C534" s="2"/>
      <c r="D534" s="2"/>
      <c r="E534" s="12"/>
    </row>
    <row r="535" spans="2:5" x14ac:dyDescent="0.3">
      <c r="B535" s="1"/>
      <c r="C535" s="2"/>
      <c r="D535" s="2"/>
      <c r="E535" s="12"/>
    </row>
    <row r="536" spans="2:5" x14ac:dyDescent="0.3">
      <c r="B536" s="1"/>
      <c r="C536" s="2"/>
      <c r="D536" s="2"/>
      <c r="E536" s="12"/>
    </row>
    <row r="537" spans="2:5" x14ac:dyDescent="0.3">
      <c r="B537" s="1"/>
      <c r="C537" s="2"/>
      <c r="D537" s="2"/>
      <c r="E537" s="12"/>
    </row>
    <row r="538" spans="2:5" x14ac:dyDescent="0.3">
      <c r="B538" s="1"/>
      <c r="C538" s="2"/>
      <c r="D538" s="2"/>
      <c r="E538" s="12"/>
    </row>
    <row r="539" spans="2:5" x14ac:dyDescent="0.3">
      <c r="B539" s="1"/>
      <c r="C539" s="2"/>
      <c r="D539" s="2"/>
      <c r="E539" s="12"/>
    </row>
    <row r="540" spans="2:5" x14ac:dyDescent="0.3">
      <c r="B540" s="1"/>
      <c r="C540" s="2"/>
      <c r="D540" s="2"/>
      <c r="E540" s="12"/>
    </row>
    <row r="541" spans="2:5" x14ac:dyDescent="0.3">
      <c r="B541" s="1"/>
      <c r="C541" s="2"/>
      <c r="D541" s="2"/>
      <c r="E541" s="12"/>
    </row>
    <row r="542" spans="2:5" x14ac:dyDescent="0.3">
      <c r="B542" s="1"/>
      <c r="C542" s="2"/>
      <c r="D542" s="2"/>
      <c r="E542" s="12"/>
    </row>
    <row r="543" spans="2:5" x14ac:dyDescent="0.3">
      <c r="B543" s="1"/>
      <c r="C543" s="2"/>
      <c r="D543" s="2"/>
      <c r="E543" s="12"/>
    </row>
    <row r="544" spans="2:5" x14ac:dyDescent="0.3">
      <c r="B544" s="1"/>
      <c r="C544" s="2"/>
      <c r="D544" s="2"/>
      <c r="E544" s="12"/>
    </row>
    <row r="545" spans="2:5" x14ac:dyDescent="0.3">
      <c r="B545" s="1"/>
      <c r="C545" s="2"/>
      <c r="D545" s="2"/>
      <c r="E545" s="12"/>
    </row>
    <row r="546" spans="2:5" x14ac:dyDescent="0.3">
      <c r="B546" s="1"/>
      <c r="C546" s="2"/>
      <c r="D546" s="2"/>
      <c r="E546" s="12"/>
    </row>
    <row r="547" spans="2:5" x14ac:dyDescent="0.3">
      <c r="B547" s="1"/>
      <c r="C547" s="2"/>
      <c r="D547" s="2"/>
      <c r="E547" s="12"/>
    </row>
    <row r="548" spans="2:5" x14ac:dyDescent="0.3">
      <c r="B548" s="1"/>
      <c r="C548" s="2"/>
      <c r="D548" s="2"/>
      <c r="E548" s="12"/>
    </row>
    <row r="549" spans="2:5" x14ac:dyDescent="0.3">
      <c r="B549" s="1"/>
      <c r="C549" s="2"/>
      <c r="D549" s="2"/>
      <c r="E549" s="12"/>
    </row>
    <row r="550" spans="2:5" x14ac:dyDescent="0.3">
      <c r="B550" s="1"/>
      <c r="C550" s="2"/>
      <c r="D550" s="2"/>
      <c r="E550" s="12"/>
    </row>
    <row r="551" spans="2:5" x14ac:dyDescent="0.3">
      <c r="B551" s="1"/>
      <c r="C551" s="2"/>
      <c r="D551" s="2"/>
      <c r="E551" s="12"/>
    </row>
    <row r="552" spans="2:5" x14ac:dyDescent="0.3">
      <c r="B552" s="1"/>
      <c r="C552" s="2"/>
      <c r="D552" s="2"/>
      <c r="E552" s="12"/>
    </row>
    <row r="553" spans="2:5" x14ac:dyDescent="0.3">
      <c r="B553" s="1"/>
      <c r="C553" s="2"/>
      <c r="D553" s="2"/>
      <c r="E553" s="12"/>
    </row>
    <row r="554" spans="2:5" x14ac:dyDescent="0.3">
      <c r="B554" s="1"/>
      <c r="C554" s="2"/>
      <c r="D554" s="2"/>
      <c r="E554" s="12"/>
    </row>
    <row r="555" spans="2:5" x14ac:dyDescent="0.3">
      <c r="B555" s="1"/>
      <c r="C555" s="2"/>
      <c r="D555" s="2"/>
      <c r="E555" s="12"/>
    </row>
    <row r="556" spans="2:5" x14ac:dyDescent="0.3">
      <c r="B556" s="1"/>
      <c r="C556" s="2"/>
      <c r="D556" s="2"/>
      <c r="E556" s="12"/>
    </row>
    <row r="557" spans="2:5" x14ac:dyDescent="0.3">
      <c r="B557" s="1"/>
      <c r="C557" s="2"/>
      <c r="D557" s="2"/>
      <c r="E557" s="12"/>
    </row>
    <row r="558" spans="2:5" x14ac:dyDescent="0.3">
      <c r="B558" s="1"/>
      <c r="C558" s="2"/>
      <c r="D558" s="2"/>
      <c r="E558" s="12"/>
    </row>
    <row r="559" spans="2:5" x14ac:dyDescent="0.3">
      <c r="B559" s="1"/>
      <c r="C559" s="2"/>
      <c r="D559" s="2"/>
      <c r="E559" s="12"/>
    </row>
    <row r="560" spans="2:5" x14ac:dyDescent="0.3">
      <c r="B560" s="1"/>
      <c r="C560" s="2"/>
      <c r="D560" s="2"/>
      <c r="E560" s="12"/>
    </row>
    <row r="561" spans="2:5" x14ac:dyDescent="0.3">
      <c r="B561" s="1"/>
      <c r="C561" s="2"/>
      <c r="D561" s="2"/>
      <c r="E561" s="12"/>
    </row>
    <row r="562" spans="2:5" x14ac:dyDescent="0.3">
      <c r="B562" s="1"/>
      <c r="C562" s="2"/>
      <c r="D562" s="2"/>
      <c r="E562" s="12"/>
    </row>
    <row r="563" spans="2:5" x14ac:dyDescent="0.3">
      <c r="B563" s="1"/>
      <c r="C563" s="2"/>
      <c r="D563" s="2"/>
      <c r="E563" s="12"/>
    </row>
    <row r="564" spans="2:5" x14ac:dyDescent="0.3">
      <c r="B564" s="1"/>
      <c r="C564" s="2"/>
      <c r="D564" s="2"/>
      <c r="E564" s="12"/>
    </row>
    <row r="565" spans="2:5" x14ac:dyDescent="0.3">
      <c r="B565" s="1"/>
      <c r="C565" s="2"/>
      <c r="D565" s="2"/>
      <c r="E565" s="12"/>
    </row>
    <row r="566" spans="2:5" x14ac:dyDescent="0.3">
      <c r="B566" s="1"/>
      <c r="C566" s="2"/>
      <c r="D566" s="2"/>
      <c r="E566" s="12"/>
    </row>
    <row r="567" spans="2:5" x14ac:dyDescent="0.3">
      <c r="B567" s="1"/>
      <c r="C567" s="2"/>
      <c r="D567" s="2"/>
      <c r="E567" s="12"/>
    </row>
    <row r="568" spans="2:5" x14ac:dyDescent="0.3">
      <c r="B568" s="1"/>
      <c r="C568" s="2"/>
      <c r="D568" s="2"/>
      <c r="E568" s="12"/>
    </row>
    <row r="569" spans="2:5" x14ac:dyDescent="0.3">
      <c r="B569" s="1"/>
      <c r="C569" s="2"/>
      <c r="D569" s="2"/>
      <c r="E569" s="12"/>
    </row>
    <row r="570" spans="2:5" x14ac:dyDescent="0.3">
      <c r="B570" s="1"/>
      <c r="C570" s="2"/>
      <c r="D570" s="2"/>
      <c r="E570" s="12"/>
    </row>
    <row r="571" spans="2:5" x14ac:dyDescent="0.3">
      <c r="B571" s="1"/>
      <c r="C571" s="2"/>
      <c r="D571" s="2"/>
      <c r="E571" s="12"/>
    </row>
    <row r="572" spans="2:5" x14ac:dyDescent="0.3">
      <c r="B572" s="1"/>
      <c r="C572" s="2"/>
      <c r="D572" s="2"/>
      <c r="E572" s="12"/>
    </row>
    <row r="573" spans="2:5" x14ac:dyDescent="0.3">
      <c r="B573" s="1"/>
      <c r="C573" s="2"/>
      <c r="D573" s="2"/>
      <c r="E573" s="12"/>
    </row>
    <row r="574" spans="2:5" x14ac:dyDescent="0.3">
      <c r="B574" s="1"/>
      <c r="C574" s="2"/>
      <c r="D574" s="2"/>
      <c r="E574" s="12"/>
    </row>
    <row r="575" spans="2:5" x14ac:dyDescent="0.3">
      <c r="B575" s="1"/>
      <c r="C575" s="2"/>
      <c r="D575" s="2"/>
      <c r="E575" s="12"/>
    </row>
    <row r="576" spans="2:5" x14ac:dyDescent="0.3">
      <c r="B576" s="1"/>
      <c r="C576" s="2"/>
      <c r="D576" s="2"/>
      <c r="E576" s="12"/>
    </row>
    <row r="577" spans="2:5" x14ac:dyDescent="0.3">
      <c r="B577" s="1"/>
      <c r="C577" s="2"/>
      <c r="D577" s="2"/>
      <c r="E577" s="12"/>
    </row>
    <row r="578" spans="2:5" x14ac:dyDescent="0.3">
      <c r="B578" s="1"/>
      <c r="C578" s="2"/>
      <c r="D578" s="2"/>
      <c r="E578" s="12"/>
    </row>
    <row r="579" spans="2:5" x14ac:dyDescent="0.3">
      <c r="B579" s="1"/>
      <c r="C579" s="2"/>
      <c r="D579" s="2"/>
      <c r="E579" s="12"/>
    </row>
    <row r="580" spans="2:5" x14ac:dyDescent="0.3">
      <c r="B580" s="1"/>
      <c r="C580" s="2"/>
      <c r="D580" s="2"/>
      <c r="E580" s="12"/>
    </row>
    <row r="581" spans="2:5" x14ac:dyDescent="0.3">
      <c r="B581" s="1"/>
      <c r="C581" s="2"/>
      <c r="D581" s="2"/>
      <c r="E581" s="1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X2334"/>
  <sheetViews>
    <sheetView showRowColHeaders="0" topLeftCell="B1" zoomScaleNormal="100" workbookViewId="0">
      <selection activeCell="C9" sqref="C9"/>
    </sheetView>
  </sheetViews>
  <sheetFormatPr defaultRowHeight="12.5" x14ac:dyDescent="0.25"/>
  <cols>
    <col min="1" max="1" width="10.54296875" style="53" customWidth="1"/>
    <col min="2" max="2" width="54.26953125" customWidth="1"/>
    <col min="3" max="3" width="11.26953125" bestFit="1" customWidth="1"/>
    <col min="4" max="4" width="1.08984375" style="286" customWidth="1"/>
    <col min="5" max="5" width="4.453125" style="53" customWidth="1"/>
    <col min="6" max="6" width="12.1796875" style="53" customWidth="1"/>
    <col min="7" max="7" width="1.81640625" style="53" customWidth="1"/>
    <col min="8" max="24" width="9.1796875" style="53"/>
  </cols>
  <sheetData>
    <row r="1" spans="1:13" ht="148.5" customHeight="1" x14ac:dyDescent="0.3">
      <c r="A1" s="41">
        <v>2</v>
      </c>
      <c r="B1" s="51" t="s">
        <v>17</v>
      </c>
      <c r="C1" s="84">
        <f>beregningsdato</f>
        <v>45748</v>
      </c>
      <c r="D1" s="285"/>
      <c r="E1" s="52"/>
      <c r="G1" s="51"/>
    </row>
    <row r="2" spans="1:13" x14ac:dyDescent="0.25">
      <c r="B2" s="53"/>
      <c r="C2" s="53"/>
    </row>
    <row r="3" spans="1:13" ht="14.5" x14ac:dyDescent="0.35">
      <c r="B3" s="97" t="s">
        <v>8</v>
      </c>
      <c r="C3" s="232">
        <v>1</v>
      </c>
      <c r="D3" s="275"/>
    </row>
    <row r="4" spans="1:13" ht="14.5" x14ac:dyDescent="0.35">
      <c r="B4" s="97" t="s">
        <v>13</v>
      </c>
      <c r="C4" s="232">
        <v>37</v>
      </c>
      <c r="D4" s="275"/>
    </row>
    <row r="5" spans="1:13" ht="14.5" x14ac:dyDescent="0.35">
      <c r="B5" s="97" t="s">
        <v>104</v>
      </c>
      <c r="C5" s="239">
        <v>0.1429</v>
      </c>
      <c r="D5" s="275"/>
    </row>
    <row r="6" spans="1:13" ht="14.5" x14ac:dyDescent="0.35">
      <c r="B6" s="97" t="s">
        <v>138</v>
      </c>
      <c r="C6" s="239">
        <v>2.4799999999999999E-2</v>
      </c>
      <c r="D6" s="275"/>
    </row>
    <row r="7" spans="1:13" ht="3.75" customHeight="1" x14ac:dyDescent="0.3">
      <c r="B7" s="53"/>
      <c r="C7" s="55"/>
      <c r="D7" s="275"/>
    </row>
    <row r="8" spans="1:13" ht="14.5" x14ac:dyDescent="0.35">
      <c r="B8" s="97" t="s">
        <v>9</v>
      </c>
      <c r="C8" s="233">
        <v>24</v>
      </c>
    </row>
    <row r="9" spans="1:13" ht="3.75" customHeight="1" x14ac:dyDescent="0.25">
      <c r="B9" s="53"/>
      <c r="C9" s="53"/>
    </row>
    <row r="10" spans="1:13" ht="14.5" x14ac:dyDescent="0.35">
      <c r="B10" s="97" t="s">
        <v>50</v>
      </c>
      <c r="C10" s="234"/>
      <c r="D10" s="287">
        <f>C10*valgt_regulering/1924</f>
        <v>0</v>
      </c>
      <c r="M10" s="235"/>
    </row>
    <row r="11" spans="1:13" ht="3.75" customHeight="1" x14ac:dyDescent="0.25">
      <c r="B11" s="53"/>
      <c r="C11" s="53"/>
    </row>
    <row r="12" spans="1:13" ht="4.5" customHeight="1" x14ac:dyDescent="0.25">
      <c r="B12" s="53"/>
      <c r="C12" s="53"/>
    </row>
    <row r="13" spans="1:13" ht="12.75" customHeight="1" x14ac:dyDescent="0.25">
      <c r="B13" s="53" t="s">
        <v>109</v>
      </c>
      <c r="C13" s="159">
        <f>IFERROR(ROUND(VLOOKUP(fra_trin,Lønark!A4:AU59,løngruppe+43,FALSE)/1924,2)+ROUND(C10*valgt_regulering/1924,2),ROUND(C10*valgt_regulering/1924,2))</f>
        <v>179.66</v>
      </c>
      <c r="D13" s="288">
        <f>ROUND(VLOOKUP(fra_trin,Lønark!A4:BJ59,løngruppe+58,FALSE)/1924,2)</f>
        <v>179.66</v>
      </c>
    </row>
    <row r="14" spans="1:13" ht="12.75" customHeight="1" x14ac:dyDescent="0.25">
      <c r="B14" s="53" t="s">
        <v>102</v>
      </c>
      <c r="C14" s="159">
        <f>D14*pensionsstatus</f>
        <v>25.673414000000001</v>
      </c>
      <c r="D14" s="289">
        <f>SUM(D10:D13)</f>
        <v>179.66</v>
      </c>
    </row>
    <row r="15" spans="1:13" ht="12.75" customHeight="1" x14ac:dyDescent="0.25">
      <c r="B15" s="57" t="s">
        <v>48</v>
      </c>
      <c r="C15" s="160">
        <f>C6*C13</f>
        <v>4.4555679999999995</v>
      </c>
    </row>
    <row r="16" spans="1:13" ht="12.75" customHeight="1" thickBot="1" x14ac:dyDescent="0.35">
      <c r="B16" s="52" t="s">
        <v>110</v>
      </c>
      <c r="C16" s="162">
        <f>SUM(C13:C15)</f>
        <v>209.788982</v>
      </c>
    </row>
    <row r="17" spans="2:10" ht="12.75" customHeight="1" thickTop="1" x14ac:dyDescent="0.25">
      <c r="C17" s="53"/>
      <c r="D17" s="290">
        <f>C10*valgt_regulering/12</f>
        <v>0</v>
      </c>
    </row>
    <row r="18" spans="2:10" ht="12.75" customHeight="1" x14ac:dyDescent="0.25">
      <c r="B18" s="53" t="s">
        <v>111</v>
      </c>
      <c r="C18" s="56">
        <f>IFERROR((VLOOKUP(fra_trin,Lønark!A4:F59,løngruppe+2,FALSE)+(C10*valgt_regulering/12))/37*timetal,C10*valgt_regulering/12/37*timetal)</f>
        <v>28805.583333333328</v>
      </c>
      <c r="D18" s="277">
        <f>VLOOKUP(fra_trin,Lønark!L4:Q59,løngruppe+2,FALSE)</f>
        <v>28805.583333333332</v>
      </c>
    </row>
    <row r="19" spans="2:10" x14ac:dyDescent="0.25">
      <c r="B19" s="53" t="s">
        <v>102</v>
      </c>
      <c r="C19" s="56">
        <f>pensionsstatus*D19</f>
        <v>4116.3178583333329</v>
      </c>
      <c r="D19" s="290">
        <f>SUM(D17:D18)</f>
        <v>28805.583333333332</v>
      </c>
    </row>
    <row r="20" spans="2:10" x14ac:dyDescent="0.25">
      <c r="B20" s="57" t="s">
        <v>48</v>
      </c>
      <c r="C20" s="58">
        <f>C6*C18</f>
        <v>714.37846666666655</v>
      </c>
    </row>
    <row r="21" spans="2:10" ht="13.5" thickBot="1" x14ac:dyDescent="0.35">
      <c r="B21" s="52" t="s">
        <v>89</v>
      </c>
      <c r="C21" s="48">
        <f>SUM(C18:C20)</f>
        <v>33636.279658333333</v>
      </c>
    </row>
    <row r="22" spans="2:10" ht="13" thickTop="1" x14ac:dyDescent="0.25">
      <c r="B22" s="53"/>
      <c r="C22" s="53"/>
      <c r="D22" s="290"/>
      <c r="F22" s="159"/>
    </row>
    <row r="23" spans="2:10" x14ac:dyDescent="0.25">
      <c r="B23" s="53" t="s">
        <v>112</v>
      </c>
      <c r="C23" s="56">
        <f>C18*12</f>
        <v>345666.99999999994</v>
      </c>
    </row>
    <row r="24" spans="2:10" x14ac:dyDescent="0.25">
      <c r="B24" s="53" t="s">
        <v>102</v>
      </c>
      <c r="C24" s="56">
        <f>C19*12</f>
        <v>49395.814299999998</v>
      </c>
    </row>
    <row r="25" spans="2:10" x14ac:dyDescent="0.25">
      <c r="B25" s="57" t="s">
        <v>48</v>
      </c>
      <c r="C25" s="58">
        <f>C20*12</f>
        <v>8572.5415999999987</v>
      </c>
    </row>
    <row r="26" spans="2:10" ht="13.5" thickBot="1" x14ac:dyDescent="0.35">
      <c r="B26" s="52" t="s">
        <v>82</v>
      </c>
      <c r="C26" s="48">
        <f>SUM(C23:C25)</f>
        <v>403635.35589999997</v>
      </c>
    </row>
    <row r="27" spans="2:10" ht="13" thickTop="1" x14ac:dyDescent="0.25">
      <c r="B27" s="53"/>
      <c r="C27" s="53"/>
      <c r="J27" s="75"/>
    </row>
    <row r="28" spans="2:10" ht="13" x14ac:dyDescent="0.3">
      <c r="B28" s="52"/>
      <c r="J28" s="75"/>
    </row>
    <row r="29" spans="2:10" x14ac:dyDescent="0.25">
      <c r="B29" s="53"/>
      <c r="C29" s="53"/>
      <c r="J29" s="75"/>
    </row>
    <row r="30" spans="2:10" x14ac:dyDescent="0.25">
      <c r="B30" s="53"/>
      <c r="C30" s="53"/>
      <c r="J30" s="75"/>
    </row>
    <row r="31" spans="2:10" x14ac:dyDescent="0.25">
      <c r="B31" s="53"/>
      <c r="C31" s="53"/>
      <c r="J31" s="75"/>
    </row>
    <row r="32" spans="2:10" x14ac:dyDescent="0.25">
      <c r="B32" s="53"/>
      <c r="C32" s="53"/>
    </row>
    <row r="33" spans="1:7" ht="13" x14ac:dyDescent="0.3">
      <c r="A33" s="41"/>
      <c r="B33" s="51"/>
      <c r="C33" s="84"/>
      <c r="D33" s="285"/>
      <c r="E33" s="52"/>
      <c r="G33" s="51"/>
    </row>
    <row r="34" spans="1:7" x14ac:dyDescent="0.25">
      <c r="B34" s="53"/>
      <c r="C34" s="53"/>
    </row>
    <row r="35" spans="1:7" x14ac:dyDescent="0.25">
      <c r="B35" s="53"/>
      <c r="C35" s="53"/>
    </row>
    <row r="36" spans="1:7" x14ac:dyDescent="0.25">
      <c r="B36" s="53"/>
      <c r="C36" s="53"/>
    </row>
    <row r="37" spans="1:7" x14ac:dyDescent="0.25">
      <c r="B37" s="53"/>
      <c r="C37" s="53"/>
    </row>
    <row r="38" spans="1:7" s="53" customFormat="1" x14ac:dyDescent="0.25">
      <c r="D38" s="286"/>
    </row>
    <row r="39" spans="1:7" s="53" customFormat="1" x14ac:dyDescent="0.25">
      <c r="D39" s="286"/>
    </row>
    <row r="40" spans="1:7" s="53" customFormat="1" x14ac:dyDescent="0.25">
      <c r="D40" s="286"/>
    </row>
    <row r="41" spans="1:7" s="53" customFormat="1" x14ac:dyDescent="0.25">
      <c r="D41" s="286"/>
    </row>
    <row r="42" spans="1:7" s="53" customFormat="1" x14ac:dyDescent="0.25">
      <c r="D42" s="286"/>
    </row>
    <row r="43" spans="1:7" s="53" customFormat="1" x14ac:dyDescent="0.25">
      <c r="D43" s="286"/>
    </row>
    <row r="44" spans="1:7" s="53" customFormat="1" x14ac:dyDescent="0.25">
      <c r="D44" s="286"/>
    </row>
    <row r="45" spans="1:7" s="53" customFormat="1" x14ac:dyDescent="0.25">
      <c r="D45" s="286"/>
    </row>
    <row r="46" spans="1:7" s="53" customFormat="1" x14ac:dyDescent="0.25">
      <c r="D46" s="286"/>
    </row>
    <row r="47" spans="1:7" s="53" customFormat="1" x14ac:dyDescent="0.25">
      <c r="D47" s="286"/>
    </row>
    <row r="48" spans="1:7" s="53" customFormat="1" x14ac:dyDescent="0.25">
      <c r="D48" s="286"/>
    </row>
    <row r="49" spans="2:4" s="53" customFormat="1" x14ac:dyDescent="0.25">
      <c r="D49" s="286"/>
    </row>
    <row r="50" spans="2:4" s="53" customFormat="1" x14ac:dyDescent="0.25">
      <c r="D50" s="286"/>
    </row>
    <row r="51" spans="2:4" s="53" customFormat="1" x14ac:dyDescent="0.25">
      <c r="D51" s="286"/>
    </row>
    <row r="52" spans="2:4" s="53" customFormat="1" x14ac:dyDescent="0.25">
      <c r="D52" s="286"/>
    </row>
    <row r="53" spans="2:4" s="53" customFormat="1" x14ac:dyDescent="0.25">
      <c r="D53" s="286"/>
    </row>
    <row r="54" spans="2:4" s="53" customFormat="1" x14ac:dyDescent="0.25">
      <c r="D54" s="286"/>
    </row>
    <row r="55" spans="2:4" s="53" customFormat="1" x14ac:dyDescent="0.25">
      <c r="D55" s="286"/>
    </row>
    <row r="56" spans="2:4" s="53" customFormat="1" x14ac:dyDescent="0.25">
      <c r="D56" s="286"/>
    </row>
    <row r="57" spans="2:4" s="53" customFormat="1" x14ac:dyDescent="0.25">
      <c r="D57" s="286"/>
    </row>
    <row r="58" spans="2:4" s="53" customFormat="1" x14ac:dyDescent="0.25">
      <c r="D58" s="286"/>
    </row>
    <row r="59" spans="2:4" s="53" customFormat="1" x14ac:dyDescent="0.25">
      <c r="D59" s="286"/>
    </row>
    <row r="60" spans="2:4" s="53" customFormat="1" x14ac:dyDescent="0.25">
      <c r="D60" s="286"/>
    </row>
    <row r="61" spans="2:4" s="53" customFormat="1" x14ac:dyDescent="0.25">
      <c r="D61" s="286"/>
    </row>
    <row r="62" spans="2:4" x14ac:dyDescent="0.25">
      <c r="B62" s="53"/>
      <c r="C62" s="53"/>
    </row>
    <row r="63" spans="2:4" x14ac:dyDescent="0.25">
      <c r="B63" s="53"/>
      <c r="C63" s="53"/>
    </row>
    <row r="64" spans="2:4" x14ac:dyDescent="0.25">
      <c r="B64" s="53"/>
      <c r="C64" s="53"/>
    </row>
    <row r="65" spans="2:3" x14ac:dyDescent="0.25">
      <c r="B65" s="53"/>
      <c r="C65" s="53"/>
    </row>
    <row r="66" spans="2:3" x14ac:dyDescent="0.25">
      <c r="B66" s="53"/>
      <c r="C66" s="53"/>
    </row>
    <row r="67" spans="2:3" x14ac:dyDescent="0.25">
      <c r="B67" s="53"/>
      <c r="C67" s="53"/>
    </row>
    <row r="68" spans="2:3" x14ac:dyDescent="0.25">
      <c r="B68" s="53"/>
      <c r="C68" s="53"/>
    </row>
    <row r="69" spans="2:3" x14ac:dyDescent="0.25">
      <c r="B69" s="53"/>
      <c r="C69" s="53"/>
    </row>
    <row r="70" spans="2:3" x14ac:dyDescent="0.25">
      <c r="B70" s="53"/>
      <c r="C70" s="53"/>
    </row>
    <row r="71" spans="2:3" x14ac:dyDescent="0.25">
      <c r="B71" s="53"/>
      <c r="C71" s="53"/>
    </row>
    <row r="72" spans="2:3" x14ac:dyDescent="0.25">
      <c r="B72" s="53"/>
      <c r="C72" s="53"/>
    </row>
    <row r="73" spans="2:3" x14ac:dyDescent="0.25">
      <c r="B73" s="53"/>
      <c r="C73" s="53"/>
    </row>
    <row r="74" spans="2:3" x14ac:dyDescent="0.25">
      <c r="B74" s="53"/>
      <c r="C74" s="53"/>
    </row>
    <row r="75" spans="2:3" x14ac:dyDescent="0.25">
      <c r="B75" s="53"/>
      <c r="C75" s="53"/>
    </row>
    <row r="76" spans="2:3" x14ac:dyDescent="0.25">
      <c r="B76" s="53"/>
      <c r="C76" s="53"/>
    </row>
    <row r="77" spans="2:3" x14ac:dyDescent="0.25">
      <c r="B77" s="53"/>
      <c r="C77" s="53"/>
    </row>
    <row r="78" spans="2:3" x14ac:dyDescent="0.25">
      <c r="B78" s="53"/>
      <c r="C78" s="53"/>
    </row>
    <row r="79" spans="2:3" x14ac:dyDescent="0.25">
      <c r="B79" s="53"/>
      <c r="C79" s="53"/>
    </row>
    <row r="80" spans="2:3" x14ac:dyDescent="0.25">
      <c r="B80" s="53"/>
      <c r="C80" s="53"/>
    </row>
    <row r="81" spans="2:3" x14ac:dyDescent="0.25">
      <c r="B81" s="53"/>
      <c r="C81" s="53"/>
    </row>
    <row r="82" spans="2:3" x14ac:dyDescent="0.25">
      <c r="B82" s="53"/>
      <c r="C82" s="53"/>
    </row>
    <row r="83" spans="2:3" x14ac:dyDescent="0.25">
      <c r="B83" s="53"/>
      <c r="C83" s="53"/>
    </row>
    <row r="84" spans="2:3" x14ac:dyDescent="0.25">
      <c r="B84" s="53"/>
      <c r="C84" s="53"/>
    </row>
    <row r="85" spans="2:3" x14ac:dyDescent="0.25">
      <c r="B85" s="53"/>
      <c r="C85" s="53"/>
    </row>
    <row r="86" spans="2:3" x14ac:dyDescent="0.25">
      <c r="B86" s="53"/>
      <c r="C86" s="53"/>
    </row>
    <row r="87" spans="2:3" x14ac:dyDescent="0.25">
      <c r="B87" s="53"/>
      <c r="C87" s="53"/>
    </row>
    <row r="88" spans="2:3" x14ac:dyDescent="0.25">
      <c r="B88" s="53"/>
      <c r="C88" s="53"/>
    </row>
    <row r="89" spans="2:3" x14ac:dyDescent="0.25">
      <c r="B89" s="53"/>
      <c r="C89" s="53"/>
    </row>
    <row r="90" spans="2:3" x14ac:dyDescent="0.25">
      <c r="B90" s="53"/>
      <c r="C90" s="53"/>
    </row>
    <row r="91" spans="2:3" x14ac:dyDescent="0.25">
      <c r="B91" s="53"/>
      <c r="C91" s="53"/>
    </row>
    <row r="92" spans="2:3" x14ac:dyDescent="0.25">
      <c r="B92" s="53"/>
      <c r="C92" s="53"/>
    </row>
    <row r="93" spans="2:3" x14ac:dyDescent="0.25">
      <c r="B93" s="53"/>
      <c r="C93" s="53"/>
    </row>
    <row r="94" spans="2:3" x14ac:dyDescent="0.25">
      <c r="B94" s="53"/>
      <c r="C94" s="53"/>
    </row>
    <row r="95" spans="2:3" x14ac:dyDescent="0.25">
      <c r="B95" s="53"/>
      <c r="C95" s="53"/>
    </row>
    <row r="96" spans="2:3" x14ac:dyDescent="0.25">
      <c r="B96" s="53"/>
      <c r="C96" s="53"/>
    </row>
    <row r="97" spans="2:3" x14ac:dyDescent="0.25">
      <c r="B97" s="53"/>
      <c r="C97" s="53"/>
    </row>
    <row r="98" spans="2:3" x14ac:dyDescent="0.25">
      <c r="B98" s="53"/>
      <c r="C98" s="53"/>
    </row>
    <row r="99" spans="2:3" x14ac:dyDescent="0.25">
      <c r="B99" s="53"/>
      <c r="C99" s="53"/>
    </row>
    <row r="100" spans="2:3" x14ac:dyDescent="0.25">
      <c r="B100" s="53"/>
      <c r="C100" s="53"/>
    </row>
    <row r="101" spans="2:3" x14ac:dyDescent="0.25">
      <c r="B101" s="53"/>
      <c r="C101" s="53"/>
    </row>
    <row r="102" spans="2:3" x14ac:dyDescent="0.25">
      <c r="B102" s="53"/>
      <c r="C102" s="53"/>
    </row>
    <row r="103" spans="2:3" x14ac:dyDescent="0.25">
      <c r="B103" s="53"/>
      <c r="C103" s="53"/>
    </row>
    <row r="104" spans="2:3" x14ac:dyDescent="0.25">
      <c r="B104" s="53"/>
      <c r="C104" s="53"/>
    </row>
    <row r="105" spans="2:3" x14ac:dyDescent="0.25">
      <c r="B105" s="53"/>
      <c r="C105" s="53"/>
    </row>
    <row r="106" spans="2:3" x14ac:dyDescent="0.25">
      <c r="B106" s="53"/>
      <c r="C106" s="53"/>
    </row>
    <row r="107" spans="2:3" x14ac:dyDescent="0.25">
      <c r="B107" s="53"/>
      <c r="C107" s="53"/>
    </row>
    <row r="108" spans="2:3" x14ac:dyDescent="0.25">
      <c r="B108" s="53"/>
      <c r="C108" s="53"/>
    </row>
    <row r="109" spans="2:3" x14ac:dyDescent="0.25">
      <c r="B109" s="53"/>
      <c r="C109" s="53"/>
    </row>
    <row r="110" spans="2:3" x14ac:dyDescent="0.25">
      <c r="B110" s="53"/>
      <c r="C110" s="53"/>
    </row>
    <row r="111" spans="2:3" x14ac:dyDescent="0.25">
      <c r="B111" s="53"/>
      <c r="C111" s="53"/>
    </row>
    <row r="112" spans="2:3" x14ac:dyDescent="0.25">
      <c r="B112" s="53"/>
      <c r="C112" s="53"/>
    </row>
    <row r="113" spans="2:3" x14ac:dyDescent="0.25">
      <c r="B113" s="53"/>
      <c r="C113" s="53"/>
    </row>
    <row r="114" spans="2:3" x14ac:dyDescent="0.25">
      <c r="B114" s="53"/>
      <c r="C114" s="53"/>
    </row>
    <row r="115" spans="2:3" x14ac:dyDescent="0.25">
      <c r="B115" s="53"/>
      <c r="C115" s="53"/>
    </row>
    <row r="116" spans="2:3" x14ac:dyDescent="0.25">
      <c r="B116" s="53"/>
      <c r="C116" s="53"/>
    </row>
    <row r="117" spans="2:3" x14ac:dyDescent="0.25">
      <c r="B117" s="53"/>
      <c r="C117" s="53"/>
    </row>
    <row r="118" spans="2:3" x14ac:dyDescent="0.25">
      <c r="B118" s="53"/>
      <c r="C118" s="53"/>
    </row>
    <row r="119" spans="2:3" x14ac:dyDescent="0.25">
      <c r="B119" s="53"/>
      <c r="C119" s="53"/>
    </row>
    <row r="120" spans="2:3" x14ac:dyDescent="0.25">
      <c r="B120" s="53"/>
      <c r="C120" s="53"/>
    </row>
    <row r="121" spans="2:3" x14ac:dyDescent="0.25">
      <c r="B121" s="53"/>
      <c r="C121" s="53"/>
    </row>
    <row r="122" spans="2:3" x14ac:dyDescent="0.25">
      <c r="B122" s="53"/>
      <c r="C122" s="53"/>
    </row>
    <row r="123" spans="2:3" x14ac:dyDescent="0.25">
      <c r="B123" s="53"/>
      <c r="C123" s="53"/>
    </row>
    <row r="124" spans="2:3" x14ac:dyDescent="0.25">
      <c r="B124" s="53"/>
      <c r="C124" s="53"/>
    </row>
    <row r="125" spans="2:3" x14ac:dyDescent="0.25">
      <c r="B125" s="53"/>
      <c r="C125" s="53"/>
    </row>
    <row r="126" spans="2:3" x14ac:dyDescent="0.25">
      <c r="B126" s="53"/>
      <c r="C126" s="53"/>
    </row>
    <row r="127" spans="2:3" x14ac:dyDescent="0.25">
      <c r="B127" s="53"/>
      <c r="C127" s="53"/>
    </row>
    <row r="128" spans="2:3" x14ac:dyDescent="0.25">
      <c r="B128" s="53"/>
      <c r="C128" s="53"/>
    </row>
    <row r="129" spans="2:3" x14ac:dyDescent="0.25">
      <c r="B129" s="53"/>
      <c r="C129" s="53"/>
    </row>
    <row r="130" spans="2:3" x14ac:dyDescent="0.25">
      <c r="B130" s="53"/>
      <c r="C130" s="53"/>
    </row>
    <row r="131" spans="2:3" x14ac:dyDescent="0.25">
      <c r="B131" s="53"/>
      <c r="C131" s="53"/>
    </row>
    <row r="132" spans="2:3" x14ac:dyDescent="0.25">
      <c r="B132" s="53"/>
      <c r="C132" s="53"/>
    </row>
    <row r="133" spans="2:3" x14ac:dyDescent="0.25">
      <c r="B133" s="53"/>
      <c r="C133" s="53"/>
    </row>
    <row r="134" spans="2:3" x14ac:dyDescent="0.25">
      <c r="B134" s="53"/>
      <c r="C134" s="53"/>
    </row>
    <row r="135" spans="2:3" x14ac:dyDescent="0.25">
      <c r="B135" s="53"/>
      <c r="C135" s="53"/>
    </row>
    <row r="136" spans="2:3" x14ac:dyDescent="0.25">
      <c r="B136" s="53"/>
      <c r="C136" s="53"/>
    </row>
    <row r="137" spans="2:3" x14ac:dyDescent="0.25">
      <c r="B137" s="53"/>
      <c r="C137" s="53"/>
    </row>
    <row r="138" spans="2:3" x14ac:dyDescent="0.25">
      <c r="B138" s="53"/>
      <c r="C138" s="53"/>
    </row>
    <row r="139" spans="2:3" x14ac:dyDescent="0.25">
      <c r="B139" s="53"/>
      <c r="C139" s="53"/>
    </row>
    <row r="140" spans="2:3" x14ac:dyDescent="0.25">
      <c r="B140" s="53"/>
      <c r="C140" s="53"/>
    </row>
    <row r="141" spans="2:3" x14ac:dyDescent="0.25">
      <c r="B141" s="53"/>
      <c r="C141" s="53"/>
    </row>
    <row r="142" spans="2:3" x14ac:dyDescent="0.25">
      <c r="B142" s="53"/>
      <c r="C142" s="53"/>
    </row>
    <row r="143" spans="2:3" x14ac:dyDescent="0.25">
      <c r="B143" s="53"/>
      <c r="C143" s="53"/>
    </row>
    <row r="144" spans="2:3" x14ac:dyDescent="0.25">
      <c r="B144" s="53"/>
      <c r="C144" s="53"/>
    </row>
    <row r="145" spans="2:3" x14ac:dyDescent="0.25">
      <c r="B145" s="53"/>
      <c r="C145" s="53"/>
    </row>
    <row r="146" spans="2:3" x14ac:dyDescent="0.25">
      <c r="B146" s="53"/>
      <c r="C146" s="53"/>
    </row>
    <row r="147" spans="2:3" x14ac:dyDescent="0.25">
      <c r="B147" s="53"/>
      <c r="C147" s="53"/>
    </row>
    <row r="148" spans="2:3" x14ac:dyDescent="0.25">
      <c r="B148" s="53"/>
      <c r="C148" s="53"/>
    </row>
    <row r="149" spans="2:3" x14ac:dyDescent="0.25">
      <c r="B149" s="53"/>
      <c r="C149" s="53"/>
    </row>
    <row r="150" spans="2:3" x14ac:dyDescent="0.25">
      <c r="B150" s="53"/>
      <c r="C150" s="53"/>
    </row>
    <row r="151" spans="2:3" x14ac:dyDescent="0.25">
      <c r="B151" s="53"/>
      <c r="C151" s="53"/>
    </row>
    <row r="152" spans="2:3" x14ac:dyDescent="0.25">
      <c r="B152" s="53"/>
      <c r="C152" s="53"/>
    </row>
    <row r="153" spans="2:3" x14ac:dyDescent="0.25">
      <c r="B153" s="53"/>
      <c r="C153" s="53"/>
    </row>
    <row r="154" spans="2:3" x14ac:dyDescent="0.25">
      <c r="B154" s="53"/>
      <c r="C154" s="53"/>
    </row>
    <row r="155" spans="2:3" x14ac:dyDescent="0.25">
      <c r="B155" s="53"/>
      <c r="C155" s="53"/>
    </row>
    <row r="156" spans="2:3" x14ac:dyDescent="0.25">
      <c r="B156" s="53"/>
      <c r="C156" s="53"/>
    </row>
    <row r="157" spans="2:3" x14ac:dyDescent="0.25">
      <c r="B157" s="53"/>
      <c r="C157" s="53"/>
    </row>
    <row r="158" spans="2:3" x14ac:dyDescent="0.25">
      <c r="B158" s="53"/>
      <c r="C158" s="53"/>
    </row>
    <row r="159" spans="2:3" x14ac:dyDescent="0.25">
      <c r="B159" s="53"/>
      <c r="C159" s="53"/>
    </row>
    <row r="160" spans="2:3" x14ac:dyDescent="0.25">
      <c r="B160" s="53"/>
      <c r="C160" s="53"/>
    </row>
    <row r="161" spans="2:3" x14ac:dyDescent="0.25">
      <c r="B161" s="53"/>
      <c r="C161" s="53"/>
    </row>
    <row r="162" spans="2:3" x14ac:dyDescent="0.25">
      <c r="B162" s="53"/>
      <c r="C162" s="53"/>
    </row>
    <row r="163" spans="2:3" x14ac:dyDescent="0.25">
      <c r="B163" s="53"/>
      <c r="C163" s="53"/>
    </row>
    <row r="164" spans="2:3" x14ac:dyDescent="0.25">
      <c r="B164" s="53"/>
      <c r="C164" s="53"/>
    </row>
    <row r="165" spans="2:3" x14ac:dyDescent="0.25">
      <c r="B165" s="53"/>
      <c r="C165" s="53"/>
    </row>
    <row r="166" spans="2:3" x14ac:dyDescent="0.25">
      <c r="B166" s="53"/>
      <c r="C166" s="53"/>
    </row>
    <row r="167" spans="2:3" x14ac:dyDescent="0.25">
      <c r="B167" s="53"/>
      <c r="C167" s="53"/>
    </row>
    <row r="168" spans="2:3" x14ac:dyDescent="0.25">
      <c r="B168" s="53"/>
      <c r="C168" s="53"/>
    </row>
    <row r="169" spans="2:3" x14ac:dyDescent="0.25">
      <c r="B169" s="53"/>
      <c r="C169" s="53"/>
    </row>
    <row r="170" spans="2:3" x14ac:dyDescent="0.25">
      <c r="B170" s="53"/>
      <c r="C170" s="53"/>
    </row>
    <row r="171" spans="2:3" x14ac:dyDescent="0.25">
      <c r="B171" s="53"/>
      <c r="C171" s="53"/>
    </row>
    <row r="172" spans="2:3" x14ac:dyDescent="0.25">
      <c r="B172" s="53"/>
      <c r="C172" s="53"/>
    </row>
    <row r="173" spans="2:3" x14ac:dyDescent="0.25">
      <c r="B173" s="53"/>
      <c r="C173" s="53"/>
    </row>
    <row r="174" spans="2:3" x14ac:dyDescent="0.25">
      <c r="B174" s="53"/>
      <c r="C174" s="53"/>
    </row>
    <row r="175" spans="2:3" x14ac:dyDescent="0.25">
      <c r="B175" s="53"/>
      <c r="C175" s="53"/>
    </row>
    <row r="176" spans="2:3" x14ac:dyDescent="0.25">
      <c r="B176" s="53"/>
      <c r="C176" s="53"/>
    </row>
    <row r="177" spans="2:3" x14ac:dyDescent="0.25">
      <c r="B177" s="53"/>
      <c r="C177" s="53"/>
    </row>
    <row r="178" spans="2:3" x14ac:dyDescent="0.25">
      <c r="B178" s="53"/>
      <c r="C178" s="53"/>
    </row>
    <row r="179" spans="2:3" x14ac:dyDescent="0.25">
      <c r="B179" s="53"/>
      <c r="C179" s="53"/>
    </row>
    <row r="180" spans="2:3" x14ac:dyDescent="0.25">
      <c r="B180" s="53"/>
      <c r="C180" s="53"/>
    </row>
    <row r="181" spans="2:3" x14ac:dyDescent="0.25">
      <c r="B181" s="53"/>
      <c r="C181" s="53"/>
    </row>
    <row r="182" spans="2:3" x14ac:dyDescent="0.25">
      <c r="B182" s="53"/>
      <c r="C182" s="53"/>
    </row>
    <row r="183" spans="2:3" x14ac:dyDescent="0.25">
      <c r="B183" s="53"/>
      <c r="C183" s="53"/>
    </row>
    <row r="184" spans="2:3" x14ac:dyDescent="0.25">
      <c r="B184" s="53"/>
      <c r="C184" s="53"/>
    </row>
    <row r="185" spans="2:3" x14ac:dyDescent="0.25">
      <c r="B185" s="53"/>
      <c r="C185" s="53"/>
    </row>
    <row r="186" spans="2:3" x14ac:dyDescent="0.25">
      <c r="B186" s="53"/>
      <c r="C186" s="53"/>
    </row>
    <row r="187" spans="2:3" x14ac:dyDescent="0.25">
      <c r="B187" s="53"/>
      <c r="C187" s="53"/>
    </row>
    <row r="188" spans="2:3" x14ac:dyDescent="0.25">
      <c r="B188" s="53"/>
      <c r="C188" s="53"/>
    </row>
    <row r="189" spans="2:3" x14ac:dyDescent="0.25">
      <c r="B189" s="53"/>
      <c r="C189" s="53"/>
    </row>
    <row r="190" spans="2:3" x14ac:dyDescent="0.25">
      <c r="B190" s="53"/>
      <c r="C190" s="53"/>
    </row>
    <row r="191" spans="2:3" x14ac:dyDescent="0.25">
      <c r="B191" s="53"/>
      <c r="C191" s="53"/>
    </row>
    <row r="192" spans="2:3" x14ac:dyDescent="0.25">
      <c r="B192" s="53"/>
      <c r="C192" s="53"/>
    </row>
    <row r="193" spans="2:3" x14ac:dyDescent="0.25">
      <c r="B193" s="53"/>
      <c r="C193" s="53"/>
    </row>
    <row r="194" spans="2:3" x14ac:dyDescent="0.25">
      <c r="B194" s="53"/>
      <c r="C194" s="53"/>
    </row>
    <row r="195" spans="2:3" x14ac:dyDescent="0.25">
      <c r="B195" s="53"/>
      <c r="C195" s="53"/>
    </row>
    <row r="196" spans="2:3" x14ac:dyDescent="0.25">
      <c r="B196" s="53"/>
      <c r="C196" s="53"/>
    </row>
    <row r="197" spans="2:3" x14ac:dyDescent="0.25">
      <c r="B197" s="53"/>
      <c r="C197" s="53"/>
    </row>
    <row r="198" spans="2:3" x14ac:dyDescent="0.25">
      <c r="B198" s="53"/>
      <c r="C198" s="53"/>
    </row>
    <row r="199" spans="2:3" x14ac:dyDescent="0.25">
      <c r="B199" s="53"/>
      <c r="C199" s="53"/>
    </row>
    <row r="200" spans="2:3" x14ac:dyDescent="0.25">
      <c r="B200" s="53"/>
      <c r="C200" s="53"/>
    </row>
    <row r="201" spans="2:3" x14ac:dyDescent="0.25">
      <c r="B201" s="53"/>
      <c r="C201" s="53"/>
    </row>
    <row r="202" spans="2:3" x14ac:dyDescent="0.25">
      <c r="B202" s="53"/>
      <c r="C202" s="53"/>
    </row>
    <row r="203" spans="2:3" x14ac:dyDescent="0.25">
      <c r="B203" s="53"/>
      <c r="C203" s="53"/>
    </row>
    <row r="204" spans="2:3" x14ac:dyDescent="0.25">
      <c r="B204" s="53"/>
      <c r="C204" s="53"/>
    </row>
    <row r="205" spans="2:3" x14ac:dyDescent="0.25">
      <c r="B205" s="53"/>
      <c r="C205" s="53"/>
    </row>
    <row r="206" spans="2:3" x14ac:dyDescent="0.25">
      <c r="B206" s="53"/>
      <c r="C206" s="53"/>
    </row>
    <row r="207" spans="2:3" x14ac:dyDescent="0.25">
      <c r="B207" s="53"/>
      <c r="C207" s="53"/>
    </row>
    <row r="208" spans="2:3" x14ac:dyDescent="0.25">
      <c r="B208" s="53"/>
      <c r="C208" s="53"/>
    </row>
    <row r="209" spans="2:3" x14ac:dyDescent="0.25">
      <c r="B209" s="53"/>
      <c r="C209" s="53"/>
    </row>
    <row r="210" spans="2:3" x14ac:dyDescent="0.25">
      <c r="B210" s="53"/>
      <c r="C210" s="53"/>
    </row>
    <row r="211" spans="2:3" x14ac:dyDescent="0.25">
      <c r="B211" s="53"/>
      <c r="C211" s="53"/>
    </row>
    <row r="212" spans="2:3" x14ac:dyDescent="0.25">
      <c r="B212" s="53"/>
      <c r="C212" s="53"/>
    </row>
    <row r="213" spans="2:3" x14ac:dyDescent="0.25">
      <c r="B213" s="53"/>
      <c r="C213" s="53"/>
    </row>
    <row r="214" spans="2:3" x14ac:dyDescent="0.25">
      <c r="B214" s="53"/>
      <c r="C214" s="53"/>
    </row>
    <row r="215" spans="2:3" x14ac:dyDescent="0.25">
      <c r="B215" s="53"/>
      <c r="C215" s="53"/>
    </row>
    <row r="216" spans="2:3" x14ac:dyDescent="0.25">
      <c r="B216" s="53"/>
      <c r="C216" s="53"/>
    </row>
    <row r="217" spans="2:3" x14ac:dyDescent="0.25">
      <c r="B217" s="53"/>
      <c r="C217" s="53"/>
    </row>
    <row r="218" spans="2:3" x14ac:dyDescent="0.25">
      <c r="B218" s="53"/>
      <c r="C218" s="53"/>
    </row>
    <row r="219" spans="2:3" x14ac:dyDescent="0.25">
      <c r="B219" s="53"/>
      <c r="C219" s="53"/>
    </row>
    <row r="220" spans="2:3" x14ac:dyDescent="0.25">
      <c r="B220" s="53"/>
      <c r="C220" s="53"/>
    </row>
    <row r="221" spans="2:3" x14ac:dyDescent="0.25">
      <c r="B221" s="53"/>
      <c r="C221" s="53"/>
    </row>
    <row r="222" spans="2:3" x14ac:dyDescent="0.25">
      <c r="B222" s="53"/>
      <c r="C222" s="53"/>
    </row>
    <row r="223" spans="2:3" x14ac:dyDescent="0.25">
      <c r="B223" s="53"/>
      <c r="C223" s="53"/>
    </row>
    <row r="224" spans="2:3" x14ac:dyDescent="0.25">
      <c r="B224" s="53"/>
      <c r="C224" s="53"/>
    </row>
    <row r="225" spans="2:3" x14ac:dyDescent="0.25">
      <c r="B225" s="53"/>
      <c r="C225" s="53"/>
    </row>
    <row r="226" spans="2:3" x14ac:dyDescent="0.25">
      <c r="B226" s="53"/>
      <c r="C226" s="53"/>
    </row>
    <row r="227" spans="2:3" x14ac:dyDescent="0.25">
      <c r="B227" s="53"/>
      <c r="C227" s="53"/>
    </row>
    <row r="228" spans="2:3" x14ac:dyDescent="0.25">
      <c r="B228" s="53"/>
      <c r="C228" s="53"/>
    </row>
    <row r="229" spans="2:3" x14ac:dyDescent="0.25">
      <c r="B229" s="53"/>
      <c r="C229" s="53"/>
    </row>
    <row r="230" spans="2:3" x14ac:dyDescent="0.25">
      <c r="B230" s="53"/>
      <c r="C230" s="53"/>
    </row>
    <row r="231" spans="2:3" x14ac:dyDescent="0.25">
      <c r="B231" s="53"/>
      <c r="C231" s="53"/>
    </row>
    <row r="232" spans="2:3" x14ac:dyDescent="0.25">
      <c r="B232" s="53"/>
      <c r="C232" s="53"/>
    </row>
    <row r="233" spans="2:3" x14ac:dyDescent="0.25">
      <c r="B233" s="53"/>
      <c r="C233" s="53"/>
    </row>
    <row r="234" spans="2:3" x14ac:dyDescent="0.25">
      <c r="B234" s="53"/>
      <c r="C234" s="53"/>
    </row>
    <row r="235" spans="2:3" x14ac:dyDescent="0.25">
      <c r="B235" s="53"/>
      <c r="C235" s="53"/>
    </row>
    <row r="236" spans="2:3" x14ac:dyDescent="0.25">
      <c r="B236" s="53"/>
      <c r="C236" s="53"/>
    </row>
    <row r="237" spans="2:3" x14ac:dyDescent="0.25">
      <c r="B237" s="53"/>
      <c r="C237" s="53"/>
    </row>
    <row r="238" spans="2:3" x14ac:dyDescent="0.25">
      <c r="B238" s="53"/>
      <c r="C238" s="53"/>
    </row>
    <row r="239" spans="2:3" x14ac:dyDescent="0.25">
      <c r="B239" s="53"/>
      <c r="C239" s="53"/>
    </row>
    <row r="240" spans="2:3" x14ac:dyDescent="0.25">
      <c r="B240" s="53"/>
      <c r="C240" s="53"/>
    </row>
    <row r="241" spans="2:3" x14ac:dyDescent="0.25">
      <c r="B241" s="53"/>
      <c r="C241" s="53"/>
    </row>
    <row r="242" spans="2:3" x14ac:dyDescent="0.25">
      <c r="B242" s="53"/>
      <c r="C242" s="53"/>
    </row>
    <row r="243" spans="2:3" x14ac:dyDescent="0.25">
      <c r="B243" s="53"/>
      <c r="C243" s="53"/>
    </row>
    <row r="244" spans="2:3" x14ac:dyDescent="0.25">
      <c r="B244" s="53"/>
      <c r="C244" s="53"/>
    </row>
    <row r="245" spans="2:3" x14ac:dyDescent="0.25">
      <c r="B245" s="53"/>
      <c r="C245" s="53"/>
    </row>
    <row r="246" spans="2:3" x14ac:dyDescent="0.25">
      <c r="B246" s="53"/>
      <c r="C246" s="53"/>
    </row>
    <row r="247" spans="2:3" x14ac:dyDescent="0.25">
      <c r="B247" s="53"/>
      <c r="C247" s="53"/>
    </row>
    <row r="248" spans="2:3" x14ac:dyDescent="0.25">
      <c r="B248" s="53"/>
      <c r="C248" s="53"/>
    </row>
    <row r="249" spans="2:3" x14ac:dyDescent="0.25">
      <c r="B249" s="53"/>
      <c r="C249" s="53"/>
    </row>
    <row r="250" spans="2:3" x14ac:dyDescent="0.25">
      <c r="B250" s="53"/>
      <c r="C250" s="53"/>
    </row>
    <row r="251" spans="2:3" x14ac:dyDescent="0.25">
      <c r="B251" s="53"/>
      <c r="C251" s="53"/>
    </row>
    <row r="252" spans="2:3" x14ac:dyDescent="0.25">
      <c r="B252" s="53"/>
      <c r="C252" s="53"/>
    </row>
    <row r="253" spans="2:3" x14ac:dyDescent="0.25">
      <c r="B253" s="53"/>
      <c r="C253" s="53"/>
    </row>
    <row r="254" spans="2:3" x14ac:dyDescent="0.25">
      <c r="B254" s="53"/>
      <c r="C254" s="53"/>
    </row>
    <row r="255" spans="2:3" x14ac:dyDescent="0.25">
      <c r="B255" s="53"/>
      <c r="C255" s="53"/>
    </row>
    <row r="256" spans="2:3" x14ac:dyDescent="0.25">
      <c r="B256" s="53"/>
      <c r="C256" s="53"/>
    </row>
    <row r="257" spans="2:3" x14ac:dyDescent="0.25">
      <c r="B257" s="53"/>
      <c r="C257" s="53"/>
    </row>
    <row r="258" spans="2:3" x14ac:dyDescent="0.25">
      <c r="B258" s="53"/>
      <c r="C258" s="53"/>
    </row>
    <row r="259" spans="2:3" x14ac:dyDescent="0.25">
      <c r="B259" s="53"/>
      <c r="C259" s="53"/>
    </row>
    <row r="260" spans="2:3" x14ac:dyDescent="0.25">
      <c r="B260" s="53"/>
      <c r="C260" s="53"/>
    </row>
    <row r="261" spans="2:3" x14ac:dyDescent="0.25">
      <c r="B261" s="53"/>
      <c r="C261" s="53"/>
    </row>
    <row r="262" spans="2:3" x14ac:dyDescent="0.25">
      <c r="B262" s="53"/>
      <c r="C262" s="53"/>
    </row>
    <row r="263" spans="2:3" x14ac:dyDescent="0.25">
      <c r="B263" s="53"/>
      <c r="C263" s="53"/>
    </row>
    <row r="264" spans="2:3" x14ac:dyDescent="0.25">
      <c r="B264" s="53"/>
      <c r="C264" s="53"/>
    </row>
    <row r="265" spans="2:3" x14ac:dyDescent="0.25">
      <c r="B265" s="53"/>
      <c r="C265" s="53"/>
    </row>
    <row r="266" spans="2:3" x14ac:dyDescent="0.25">
      <c r="B266" s="53"/>
      <c r="C266" s="53"/>
    </row>
    <row r="267" spans="2:3" x14ac:dyDescent="0.25">
      <c r="B267" s="53"/>
      <c r="C267" s="53"/>
    </row>
    <row r="268" spans="2:3" x14ac:dyDescent="0.25">
      <c r="B268" s="53"/>
      <c r="C268" s="53"/>
    </row>
    <row r="269" spans="2:3" x14ac:dyDescent="0.25">
      <c r="B269" s="53"/>
      <c r="C269" s="53"/>
    </row>
    <row r="270" spans="2:3" x14ac:dyDescent="0.25">
      <c r="B270" s="53"/>
      <c r="C270" s="53"/>
    </row>
    <row r="271" spans="2:3" x14ac:dyDescent="0.25">
      <c r="B271" s="53"/>
      <c r="C271" s="53"/>
    </row>
    <row r="272" spans="2:3" x14ac:dyDescent="0.25">
      <c r="B272" s="53"/>
      <c r="C272" s="53"/>
    </row>
    <row r="273" spans="2:3" x14ac:dyDescent="0.25">
      <c r="B273" s="53"/>
      <c r="C273" s="53"/>
    </row>
    <row r="274" spans="2:3" x14ac:dyDescent="0.25">
      <c r="B274" s="53"/>
      <c r="C274" s="53"/>
    </row>
    <row r="275" spans="2:3" x14ac:dyDescent="0.25">
      <c r="B275" s="53"/>
      <c r="C275" s="53"/>
    </row>
    <row r="276" spans="2:3" x14ac:dyDescent="0.25">
      <c r="B276" s="53"/>
      <c r="C276" s="53"/>
    </row>
    <row r="277" spans="2:3" x14ac:dyDescent="0.25">
      <c r="B277" s="53"/>
      <c r="C277" s="53"/>
    </row>
    <row r="278" spans="2:3" x14ac:dyDescent="0.25">
      <c r="B278" s="53"/>
      <c r="C278" s="53"/>
    </row>
    <row r="279" spans="2:3" x14ac:dyDescent="0.25">
      <c r="B279" s="53"/>
      <c r="C279" s="53"/>
    </row>
    <row r="280" spans="2:3" x14ac:dyDescent="0.25">
      <c r="B280" s="53"/>
      <c r="C280" s="53"/>
    </row>
    <row r="281" spans="2:3" x14ac:dyDescent="0.25">
      <c r="B281" s="53"/>
      <c r="C281" s="53"/>
    </row>
    <row r="282" spans="2:3" x14ac:dyDescent="0.25">
      <c r="B282" s="53"/>
      <c r="C282" s="53"/>
    </row>
    <row r="283" spans="2:3" x14ac:dyDescent="0.25">
      <c r="B283" s="53"/>
      <c r="C283" s="53"/>
    </row>
    <row r="284" spans="2:3" x14ac:dyDescent="0.25">
      <c r="B284" s="53"/>
      <c r="C284" s="53"/>
    </row>
    <row r="285" spans="2:3" x14ac:dyDescent="0.25">
      <c r="B285" s="53"/>
      <c r="C285" s="53"/>
    </row>
    <row r="286" spans="2:3" x14ac:dyDescent="0.25">
      <c r="B286" s="53"/>
      <c r="C286" s="53"/>
    </row>
    <row r="287" spans="2:3" x14ac:dyDescent="0.25">
      <c r="B287" s="53"/>
      <c r="C287" s="53"/>
    </row>
    <row r="288" spans="2:3" x14ac:dyDescent="0.25">
      <c r="B288" s="53"/>
      <c r="C288" s="53"/>
    </row>
    <row r="289" spans="2:3" x14ac:dyDescent="0.25">
      <c r="B289" s="53"/>
      <c r="C289" s="53"/>
    </row>
    <row r="290" spans="2:3" x14ac:dyDescent="0.25">
      <c r="B290" s="53"/>
      <c r="C290" s="53"/>
    </row>
    <row r="291" spans="2:3" x14ac:dyDescent="0.25">
      <c r="B291" s="53"/>
      <c r="C291" s="53"/>
    </row>
    <row r="292" spans="2:3" x14ac:dyDescent="0.25">
      <c r="B292" s="53"/>
      <c r="C292" s="53"/>
    </row>
    <row r="293" spans="2:3" x14ac:dyDescent="0.25">
      <c r="B293" s="53"/>
      <c r="C293" s="53"/>
    </row>
    <row r="294" spans="2:3" x14ac:dyDescent="0.25">
      <c r="B294" s="53"/>
      <c r="C294" s="53"/>
    </row>
    <row r="295" spans="2:3" x14ac:dyDescent="0.25">
      <c r="B295" s="53"/>
      <c r="C295" s="53"/>
    </row>
    <row r="296" spans="2:3" x14ac:dyDescent="0.25">
      <c r="B296" s="53"/>
      <c r="C296" s="53"/>
    </row>
    <row r="297" spans="2:3" x14ac:dyDescent="0.25">
      <c r="B297" s="53"/>
      <c r="C297" s="53"/>
    </row>
    <row r="298" spans="2:3" x14ac:dyDescent="0.25">
      <c r="B298" s="53"/>
      <c r="C298" s="53"/>
    </row>
    <row r="299" spans="2:3" x14ac:dyDescent="0.25">
      <c r="B299" s="53"/>
      <c r="C299" s="53"/>
    </row>
    <row r="300" spans="2:3" x14ac:dyDescent="0.25">
      <c r="B300" s="53"/>
      <c r="C300" s="53"/>
    </row>
    <row r="301" spans="2:3" x14ac:dyDescent="0.25">
      <c r="B301" s="53"/>
      <c r="C301" s="53"/>
    </row>
    <row r="302" spans="2:3" x14ac:dyDescent="0.25">
      <c r="B302" s="53"/>
      <c r="C302" s="53"/>
    </row>
    <row r="303" spans="2:3" x14ac:dyDescent="0.25">
      <c r="B303" s="53"/>
      <c r="C303" s="53"/>
    </row>
    <row r="304" spans="2:3" x14ac:dyDescent="0.25">
      <c r="B304" s="53"/>
      <c r="C304" s="53"/>
    </row>
    <row r="305" spans="2:3" x14ac:dyDescent="0.25">
      <c r="B305" s="53"/>
      <c r="C305" s="53"/>
    </row>
    <row r="306" spans="2:3" x14ac:dyDescent="0.25">
      <c r="B306" s="53"/>
      <c r="C306" s="53"/>
    </row>
    <row r="307" spans="2:3" x14ac:dyDescent="0.25">
      <c r="B307" s="53"/>
      <c r="C307" s="53"/>
    </row>
    <row r="308" spans="2:3" x14ac:dyDescent="0.25">
      <c r="B308" s="53"/>
      <c r="C308" s="53"/>
    </row>
    <row r="309" spans="2:3" x14ac:dyDescent="0.25">
      <c r="B309" s="53"/>
      <c r="C309" s="53"/>
    </row>
    <row r="310" spans="2:3" x14ac:dyDescent="0.25">
      <c r="B310" s="53"/>
      <c r="C310" s="53"/>
    </row>
    <row r="311" spans="2:3" x14ac:dyDescent="0.25">
      <c r="B311" s="53"/>
      <c r="C311" s="53"/>
    </row>
    <row r="312" spans="2:3" x14ac:dyDescent="0.25">
      <c r="B312" s="53"/>
      <c r="C312" s="53"/>
    </row>
    <row r="313" spans="2:3" x14ac:dyDescent="0.25">
      <c r="B313" s="53"/>
      <c r="C313" s="53"/>
    </row>
    <row r="314" spans="2:3" x14ac:dyDescent="0.25">
      <c r="B314" s="53"/>
      <c r="C314" s="53"/>
    </row>
    <row r="315" spans="2:3" x14ac:dyDescent="0.25">
      <c r="B315" s="53"/>
      <c r="C315" s="53"/>
    </row>
    <row r="316" spans="2:3" x14ac:dyDescent="0.25">
      <c r="B316" s="53"/>
      <c r="C316" s="53"/>
    </row>
    <row r="317" spans="2:3" x14ac:dyDescent="0.25">
      <c r="B317" s="53"/>
      <c r="C317" s="53"/>
    </row>
    <row r="318" spans="2:3" x14ac:dyDescent="0.25">
      <c r="B318" s="53"/>
      <c r="C318" s="53"/>
    </row>
    <row r="319" spans="2:3" x14ac:dyDescent="0.25">
      <c r="B319" s="53"/>
      <c r="C319" s="53"/>
    </row>
    <row r="320" spans="2:3" x14ac:dyDescent="0.25">
      <c r="B320" s="53"/>
      <c r="C320" s="53"/>
    </row>
    <row r="321" spans="2:3" x14ac:dyDescent="0.25">
      <c r="B321" s="53"/>
      <c r="C321" s="53"/>
    </row>
    <row r="322" spans="2:3" x14ac:dyDescent="0.25">
      <c r="B322" s="53"/>
      <c r="C322" s="53"/>
    </row>
    <row r="323" spans="2:3" x14ac:dyDescent="0.25">
      <c r="B323" s="53"/>
      <c r="C323" s="53"/>
    </row>
    <row r="324" spans="2:3" x14ac:dyDescent="0.25">
      <c r="B324" s="53"/>
      <c r="C324" s="53"/>
    </row>
    <row r="325" spans="2:3" x14ac:dyDescent="0.25">
      <c r="B325" s="53"/>
      <c r="C325" s="53"/>
    </row>
    <row r="326" spans="2:3" x14ac:dyDescent="0.25">
      <c r="B326" s="53"/>
      <c r="C326" s="53"/>
    </row>
    <row r="327" spans="2:3" x14ac:dyDescent="0.25">
      <c r="B327" s="53"/>
      <c r="C327" s="53"/>
    </row>
    <row r="328" spans="2:3" x14ac:dyDescent="0.25">
      <c r="B328" s="53"/>
      <c r="C328" s="53"/>
    </row>
    <row r="329" spans="2:3" x14ac:dyDescent="0.25">
      <c r="B329" s="53"/>
      <c r="C329" s="53"/>
    </row>
    <row r="330" spans="2:3" x14ac:dyDescent="0.25">
      <c r="B330" s="53"/>
      <c r="C330" s="53"/>
    </row>
    <row r="331" spans="2:3" x14ac:dyDescent="0.25">
      <c r="B331" s="53"/>
      <c r="C331" s="53"/>
    </row>
    <row r="332" spans="2:3" x14ac:dyDescent="0.25">
      <c r="B332" s="53"/>
      <c r="C332" s="53"/>
    </row>
    <row r="333" spans="2:3" x14ac:dyDescent="0.25">
      <c r="B333" s="53"/>
      <c r="C333" s="53"/>
    </row>
    <row r="334" spans="2:3" x14ac:dyDescent="0.25">
      <c r="B334" s="53"/>
      <c r="C334" s="53"/>
    </row>
    <row r="335" spans="2:3" x14ac:dyDescent="0.25">
      <c r="B335" s="53"/>
      <c r="C335" s="53"/>
    </row>
    <row r="336" spans="2:3" x14ac:dyDescent="0.25">
      <c r="B336" s="53"/>
      <c r="C336" s="53"/>
    </row>
    <row r="337" spans="2:3" x14ac:dyDescent="0.25">
      <c r="B337" s="53"/>
      <c r="C337" s="53"/>
    </row>
    <row r="338" spans="2:3" x14ac:dyDescent="0.25">
      <c r="B338" s="53"/>
      <c r="C338" s="53"/>
    </row>
    <row r="339" spans="2:3" x14ac:dyDescent="0.25">
      <c r="B339" s="53"/>
      <c r="C339" s="53"/>
    </row>
    <row r="340" spans="2:3" x14ac:dyDescent="0.25">
      <c r="B340" s="53"/>
      <c r="C340" s="53"/>
    </row>
    <row r="341" spans="2:3" x14ac:dyDescent="0.25">
      <c r="B341" s="53"/>
      <c r="C341" s="53"/>
    </row>
    <row r="342" spans="2:3" x14ac:dyDescent="0.25">
      <c r="B342" s="53"/>
      <c r="C342" s="53"/>
    </row>
    <row r="343" spans="2:3" x14ac:dyDescent="0.25">
      <c r="B343" s="53"/>
      <c r="C343" s="53"/>
    </row>
    <row r="344" spans="2:3" x14ac:dyDescent="0.25">
      <c r="B344" s="53"/>
      <c r="C344" s="53"/>
    </row>
    <row r="345" spans="2:3" x14ac:dyDescent="0.25">
      <c r="B345" s="53"/>
      <c r="C345" s="53"/>
    </row>
    <row r="346" spans="2:3" x14ac:dyDescent="0.25">
      <c r="B346" s="53"/>
      <c r="C346" s="53"/>
    </row>
    <row r="347" spans="2:3" x14ac:dyDescent="0.25">
      <c r="B347" s="53"/>
      <c r="C347" s="53"/>
    </row>
    <row r="348" spans="2:3" x14ac:dyDescent="0.25">
      <c r="B348" s="53"/>
      <c r="C348" s="53"/>
    </row>
    <row r="349" spans="2:3" x14ac:dyDescent="0.25">
      <c r="B349" s="53"/>
      <c r="C349" s="53"/>
    </row>
    <row r="350" spans="2:3" x14ac:dyDescent="0.25">
      <c r="B350" s="53"/>
      <c r="C350" s="53"/>
    </row>
    <row r="351" spans="2:3" x14ac:dyDescent="0.25">
      <c r="B351" s="53"/>
      <c r="C351" s="53"/>
    </row>
    <row r="352" spans="2:3" x14ac:dyDescent="0.25">
      <c r="B352" s="53"/>
      <c r="C352" s="53"/>
    </row>
    <row r="353" spans="2:3" x14ac:dyDescent="0.25">
      <c r="B353" s="53"/>
      <c r="C353" s="53"/>
    </row>
    <row r="354" spans="2:3" x14ac:dyDescent="0.25">
      <c r="B354" s="53"/>
      <c r="C354" s="53"/>
    </row>
    <row r="355" spans="2:3" x14ac:dyDescent="0.25">
      <c r="B355" s="53"/>
      <c r="C355" s="53"/>
    </row>
    <row r="356" spans="2:3" x14ac:dyDescent="0.25">
      <c r="B356" s="53"/>
      <c r="C356" s="53"/>
    </row>
    <row r="357" spans="2:3" x14ac:dyDescent="0.25">
      <c r="B357" s="53"/>
      <c r="C357" s="53"/>
    </row>
    <row r="358" spans="2:3" x14ac:dyDescent="0.25">
      <c r="B358" s="53"/>
      <c r="C358" s="53"/>
    </row>
    <row r="359" spans="2:3" x14ac:dyDescent="0.25">
      <c r="B359" s="53"/>
      <c r="C359" s="53"/>
    </row>
    <row r="360" spans="2:3" x14ac:dyDescent="0.25">
      <c r="B360" s="53"/>
      <c r="C360" s="53"/>
    </row>
    <row r="361" spans="2:3" x14ac:dyDescent="0.25">
      <c r="B361" s="53"/>
      <c r="C361" s="53"/>
    </row>
    <row r="362" spans="2:3" x14ac:dyDescent="0.25">
      <c r="B362" s="53"/>
      <c r="C362" s="53"/>
    </row>
    <row r="363" spans="2:3" x14ac:dyDescent="0.25">
      <c r="B363" s="53"/>
      <c r="C363" s="53"/>
    </row>
    <row r="364" spans="2:3" x14ac:dyDescent="0.25">
      <c r="B364" s="53"/>
      <c r="C364" s="53"/>
    </row>
    <row r="365" spans="2:3" x14ac:dyDescent="0.25">
      <c r="B365" s="53"/>
      <c r="C365" s="53"/>
    </row>
    <row r="366" spans="2:3" x14ac:dyDescent="0.25">
      <c r="B366" s="53"/>
      <c r="C366" s="53"/>
    </row>
    <row r="367" spans="2:3" x14ac:dyDescent="0.25">
      <c r="B367" s="53"/>
      <c r="C367" s="53"/>
    </row>
    <row r="368" spans="2:3" x14ac:dyDescent="0.25">
      <c r="B368" s="53"/>
      <c r="C368" s="53"/>
    </row>
    <row r="369" spans="2:3" x14ac:dyDescent="0.25">
      <c r="B369" s="53"/>
      <c r="C369" s="53"/>
    </row>
    <row r="370" spans="2:3" x14ac:dyDescent="0.25">
      <c r="B370" s="53"/>
      <c r="C370" s="53"/>
    </row>
    <row r="371" spans="2:3" x14ac:dyDescent="0.25">
      <c r="B371" s="53"/>
      <c r="C371" s="53"/>
    </row>
    <row r="372" spans="2:3" x14ac:dyDescent="0.25">
      <c r="B372" s="53"/>
      <c r="C372" s="53"/>
    </row>
    <row r="373" spans="2:3" x14ac:dyDescent="0.25">
      <c r="B373" s="53"/>
      <c r="C373" s="53"/>
    </row>
    <row r="374" spans="2:3" x14ac:dyDescent="0.25">
      <c r="B374" s="53"/>
      <c r="C374" s="53"/>
    </row>
    <row r="375" spans="2:3" x14ac:dyDescent="0.25">
      <c r="B375" s="53"/>
      <c r="C375" s="53"/>
    </row>
    <row r="376" spans="2:3" x14ac:dyDescent="0.25">
      <c r="B376" s="53"/>
      <c r="C376" s="53"/>
    </row>
    <row r="377" spans="2:3" x14ac:dyDescent="0.25">
      <c r="B377" s="53"/>
      <c r="C377" s="53"/>
    </row>
    <row r="378" spans="2:3" x14ac:dyDescent="0.25">
      <c r="B378" s="53"/>
      <c r="C378" s="53"/>
    </row>
    <row r="379" spans="2:3" x14ac:dyDescent="0.25">
      <c r="B379" s="53"/>
      <c r="C379" s="53"/>
    </row>
    <row r="380" spans="2:3" x14ac:dyDescent="0.25">
      <c r="B380" s="53"/>
      <c r="C380" s="53"/>
    </row>
    <row r="381" spans="2:3" x14ac:dyDescent="0.25">
      <c r="B381" s="53"/>
      <c r="C381" s="53"/>
    </row>
    <row r="382" spans="2:3" x14ac:dyDescent="0.25">
      <c r="B382" s="53"/>
      <c r="C382" s="53"/>
    </row>
    <row r="383" spans="2:3" x14ac:dyDescent="0.25">
      <c r="B383" s="53"/>
      <c r="C383" s="53"/>
    </row>
    <row r="384" spans="2:3" x14ac:dyDescent="0.25">
      <c r="B384" s="53"/>
      <c r="C384" s="53"/>
    </row>
    <row r="385" spans="2:3" x14ac:dyDescent="0.25">
      <c r="B385" s="53"/>
      <c r="C385" s="53"/>
    </row>
    <row r="386" spans="2:3" x14ac:dyDescent="0.25">
      <c r="B386" s="53"/>
      <c r="C386" s="53"/>
    </row>
    <row r="387" spans="2:3" x14ac:dyDescent="0.25">
      <c r="B387" s="53"/>
      <c r="C387" s="53"/>
    </row>
    <row r="388" spans="2:3" x14ac:dyDescent="0.25">
      <c r="B388" s="53"/>
      <c r="C388" s="53"/>
    </row>
    <row r="389" spans="2:3" x14ac:dyDescent="0.25">
      <c r="B389" s="53"/>
      <c r="C389" s="53"/>
    </row>
    <row r="390" spans="2:3" x14ac:dyDescent="0.25">
      <c r="B390" s="53"/>
      <c r="C390" s="53"/>
    </row>
    <row r="391" spans="2:3" x14ac:dyDescent="0.25">
      <c r="B391" s="53"/>
      <c r="C391" s="53"/>
    </row>
    <row r="392" spans="2:3" x14ac:dyDescent="0.25">
      <c r="B392" s="53"/>
      <c r="C392" s="53"/>
    </row>
    <row r="393" spans="2:3" x14ac:dyDescent="0.25">
      <c r="B393" s="53"/>
      <c r="C393" s="53"/>
    </row>
    <row r="394" spans="2:3" x14ac:dyDescent="0.25">
      <c r="B394" s="53"/>
      <c r="C394" s="53"/>
    </row>
    <row r="395" spans="2:3" x14ac:dyDescent="0.25">
      <c r="B395" s="53"/>
      <c r="C395" s="53"/>
    </row>
    <row r="396" spans="2:3" x14ac:dyDescent="0.25">
      <c r="B396" s="53"/>
      <c r="C396" s="53"/>
    </row>
    <row r="397" spans="2:3" x14ac:dyDescent="0.25">
      <c r="B397" s="53"/>
      <c r="C397" s="53"/>
    </row>
    <row r="398" spans="2:3" x14ac:dyDescent="0.25">
      <c r="B398" s="53"/>
      <c r="C398" s="53"/>
    </row>
    <row r="399" spans="2:3" x14ac:dyDescent="0.25">
      <c r="B399" s="53"/>
      <c r="C399" s="53"/>
    </row>
    <row r="400" spans="2:3" x14ac:dyDescent="0.25">
      <c r="B400" s="53"/>
      <c r="C400" s="53"/>
    </row>
    <row r="401" spans="2:3" x14ac:dyDescent="0.25">
      <c r="B401" s="53"/>
      <c r="C401" s="53"/>
    </row>
    <row r="402" spans="2:3" x14ac:dyDescent="0.25">
      <c r="B402" s="53"/>
      <c r="C402" s="53"/>
    </row>
    <row r="403" spans="2:3" x14ac:dyDescent="0.25">
      <c r="B403" s="53"/>
      <c r="C403" s="53"/>
    </row>
    <row r="404" spans="2:3" x14ac:dyDescent="0.25">
      <c r="B404" s="53"/>
      <c r="C404" s="53"/>
    </row>
    <row r="405" spans="2:3" x14ac:dyDescent="0.25">
      <c r="B405" s="53"/>
      <c r="C405" s="53"/>
    </row>
    <row r="406" spans="2:3" x14ac:dyDescent="0.25">
      <c r="B406" s="53"/>
      <c r="C406" s="53"/>
    </row>
    <row r="407" spans="2:3" x14ac:dyDescent="0.25">
      <c r="B407" s="53"/>
      <c r="C407" s="53"/>
    </row>
    <row r="408" spans="2:3" x14ac:dyDescent="0.25">
      <c r="B408" s="53"/>
      <c r="C408" s="53"/>
    </row>
    <row r="409" spans="2:3" x14ac:dyDescent="0.25">
      <c r="B409" s="53"/>
      <c r="C409" s="53"/>
    </row>
    <row r="410" spans="2:3" x14ac:dyDescent="0.25">
      <c r="B410" s="53"/>
      <c r="C410" s="53"/>
    </row>
    <row r="411" spans="2:3" x14ac:dyDescent="0.25">
      <c r="B411" s="53"/>
      <c r="C411" s="53"/>
    </row>
    <row r="412" spans="2:3" x14ac:dyDescent="0.25">
      <c r="B412" s="53"/>
      <c r="C412" s="53"/>
    </row>
    <row r="413" spans="2:3" x14ac:dyDescent="0.25">
      <c r="B413" s="53"/>
      <c r="C413" s="53"/>
    </row>
    <row r="414" spans="2:3" x14ac:dyDescent="0.25">
      <c r="B414" s="53"/>
      <c r="C414" s="53"/>
    </row>
    <row r="415" spans="2:3" x14ac:dyDescent="0.25">
      <c r="B415" s="53"/>
      <c r="C415" s="53"/>
    </row>
    <row r="416" spans="2:3" x14ac:dyDescent="0.25">
      <c r="B416" s="53"/>
      <c r="C416" s="53"/>
    </row>
    <row r="417" spans="2:3" x14ac:dyDescent="0.25">
      <c r="B417" s="53"/>
      <c r="C417" s="53"/>
    </row>
    <row r="418" spans="2:3" x14ac:dyDescent="0.25">
      <c r="B418" s="53"/>
      <c r="C418" s="53"/>
    </row>
    <row r="419" spans="2:3" x14ac:dyDescent="0.25">
      <c r="B419" s="53"/>
      <c r="C419" s="53"/>
    </row>
    <row r="420" spans="2:3" x14ac:dyDescent="0.25">
      <c r="B420" s="53"/>
      <c r="C420" s="53"/>
    </row>
    <row r="421" spans="2:3" x14ac:dyDescent="0.25">
      <c r="B421" s="53"/>
      <c r="C421" s="53"/>
    </row>
    <row r="422" spans="2:3" x14ac:dyDescent="0.25">
      <c r="B422" s="53"/>
      <c r="C422" s="53"/>
    </row>
    <row r="423" spans="2:3" x14ac:dyDescent="0.25">
      <c r="B423" s="53"/>
      <c r="C423" s="53"/>
    </row>
    <row r="424" spans="2:3" x14ac:dyDescent="0.25">
      <c r="B424" s="53"/>
      <c r="C424" s="53"/>
    </row>
    <row r="425" spans="2:3" x14ac:dyDescent="0.25">
      <c r="B425" s="53"/>
      <c r="C425" s="53"/>
    </row>
    <row r="426" spans="2:3" x14ac:dyDescent="0.25">
      <c r="B426" s="53"/>
      <c r="C426" s="53"/>
    </row>
    <row r="427" spans="2:3" x14ac:dyDescent="0.25">
      <c r="B427" s="53"/>
      <c r="C427" s="53"/>
    </row>
    <row r="428" spans="2:3" x14ac:dyDescent="0.25">
      <c r="B428" s="53"/>
      <c r="C428" s="53"/>
    </row>
    <row r="429" spans="2:3" x14ac:dyDescent="0.25">
      <c r="B429" s="53"/>
      <c r="C429" s="53"/>
    </row>
    <row r="430" spans="2:3" x14ac:dyDescent="0.25">
      <c r="B430" s="53"/>
      <c r="C430" s="53"/>
    </row>
    <row r="431" spans="2:3" x14ac:dyDescent="0.25">
      <c r="B431" s="53"/>
      <c r="C431" s="53"/>
    </row>
    <row r="432" spans="2:3" x14ac:dyDescent="0.25">
      <c r="B432" s="53"/>
      <c r="C432" s="53"/>
    </row>
    <row r="433" spans="2:3" x14ac:dyDescent="0.25">
      <c r="B433" s="53"/>
      <c r="C433" s="53"/>
    </row>
    <row r="434" spans="2:3" x14ac:dyDescent="0.25">
      <c r="B434" s="53"/>
      <c r="C434" s="53"/>
    </row>
    <row r="435" spans="2:3" x14ac:dyDescent="0.25">
      <c r="B435" s="53"/>
      <c r="C435" s="53"/>
    </row>
    <row r="436" spans="2:3" x14ac:dyDescent="0.25">
      <c r="B436" s="53"/>
      <c r="C436" s="53"/>
    </row>
    <row r="437" spans="2:3" x14ac:dyDescent="0.25">
      <c r="B437" s="53"/>
      <c r="C437" s="53"/>
    </row>
    <row r="438" spans="2:3" x14ac:dyDescent="0.25">
      <c r="B438" s="53"/>
      <c r="C438" s="53"/>
    </row>
    <row r="439" spans="2:3" x14ac:dyDescent="0.25">
      <c r="B439" s="53"/>
      <c r="C439" s="53"/>
    </row>
    <row r="440" spans="2:3" x14ac:dyDescent="0.25">
      <c r="B440" s="53"/>
      <c r="C440" s="53"/>
    </row>
    <row r="441" spans="2:3" x14ac:dyDescent="0.25">
      <c r="B441" s="53"/>
      <c r="C441" s="53"/>
    </row>
    <row r="442" spans="2:3" x14ac:dyDescent="0.25">
      <c r="B442" s="53"/>
      <c r="C442" s="53"/>
    </row>
    <row r="443" spans="2:3" x14ac:dyDescent="0.25">
      <c r="B443" s="53"/>
      <c r="C443" s="53"/>
    </row>
    <row r="444" spans="2:3" x14ac:dyDescent="0.25">
      <c r="B444" s="53"/>
      <c r="C444" s="53"/>
    </row>
    <row r="445" spans="2:3" x14ac:dyDescent="0.25">
      <c r="B445" s="53"/>
      <c r="C445" s="53"/>
    </row>
    <row r="446" spans="2:3" x14ac:dyDescent="0.25">
      <c r="B446" s="53"/>
      <c r="C446" s="53"/>
    </row>
    <row r="447" spans="2:3" x14ac:dyDescent="0.25">
      <c r="B447" s="53"/>
      <c r="C447" s="53"/>
    </row>
    <row r="448" spans="2:3" x14ac:dyDescent="0.25">
      <c r="B448" s="53"/>
      <c r="C448" s="53"/>
    </row>
    <row r="449" spans="2:3" x14ac:dyDescent="0.25">
      <c r="B449" s="53"/>
      <c r="C449" s="53"/>
    </row>
    <row r="450" spans="2:3" x14ac:dyDescent="0.25">
      <c r="B450" s="53"/>
      <c r="C450" s="53"/>
    </row>
    <row r="451" spans="2:3" x14ac:dyDescent="0.25">
      <c r="B451" s="53"/>
      <c r="C451" s="53"/>
    </row>
    <row r="452" spans="2:3" x14ac:dyDescent="0.25">
      <c r="B452" s="53"/>
      <c r="C452" s="53"/>
    </row>
    <row r="453" spans="2:3" x14ac:dyDescent="0.25">
      <c r="B453" s="53"/>
      <c r="C453" s="53"/>
    </row>
    <row r="454" spans="2:3" x14ac:dyDescent="0.25">
      <c r="B454" s="53"/>
      <c r="C454" s="53"/>
    </row>
    <row r="455" spans="2:3" x14ac:dyDescent="0.25">
      <c r="B455" s="53"/>
      <c r="C455" s="53"/>
    </row>
    <row r="456" spans="2:3" x14ac:dyDescent="0.25">
      <c r="B456" s="53"/>
      <c r="C456" s="53"/>
    </row>
    <row r="457" spans="2:3" x14ac:dyDescent="0.25">
      <c r="B457" s="53"/>
      <c r="C457" s="53"/>
    </row>
    <row r="458" spans="2:3" x14ac:dyDescent="0.25">
      <c r="B458" s="53"/>
      <c r="C458" s="53"/>
    </row>
    <row r="459" spans="2:3" x14ac:dyDescent="0.25">
      <c r="B459" s="53"/>
      <c r="C459" s="53"/>
    </row>
    <row r="460" spans="2:3" x14ac:dyDescent="0.25">
      <c r="B460" s="53"/>
      <c r="C460" s="53"/>
    </row>
    <row r="461" spans="2:3" x14ac:dyDescent="0.25">
      <c r="B461" s="53"/>
      <c r="C461" s="53"/>
    </row>
    <row r="462" spans="2:3" x14ac:dyDescent="0.25">
      <c r="B462" s="53"/>
      <c r="C462" s="53"/>
    </row>
    <row r="463" spans="2:3" x14ac:dyDescent="0.25">
      <c r="B463" s="53"/>
      <c r="C463" s="53"/>
    </row>
    <row r="464" spans="2:3" x14ac:dyDescent="0.25">
      <c r="B464" s="53"/>
      <c r="C464" s="53"/>
    </row>
    <row r="465" spans="2:3" x14ac:dyDescent="0.25">
      <c r="B465" s="53"/>
      <c r="C465" s="53"/>
    </row>
    <row r="466" spans="2:3" x14ac:dyDescent="0.25">
      <c r="B466" s="53"/>
      <c r="C466" s="53"/>
    </row>
    <row r="467" spans="2:3" x14ac:dyDescent="0.25">
      <c r="B467" s="53"/>
      <c r="C467" s="53"/>
    </row>
    <row r="468" spans="2:3" x14ac:dyDescent="0.25">
      <c r="B468" s="53"/>
      <c r="C468" s="53"/>
    </row>
    <row r="469" spans="2:3" x14ac:dyDescent="0.25">
      <c r="B469" s="53"/>
      <c r="C469" s="53"/>
    </row>
    <row r="470" spans="2:3" x14ac:dyDescent="0.25">
      <c r="B470" s="53"/>
      <c r="C470" s="53"/>
    </row>
    <row r="471" spans="2:3" x14ac:dyDescent="0.25">
      <c r="B471" s="53"/>
      <c r="C471" s="53"/>
    </row>
    <row r="472" spans="2:3" x14ac:dyDescent="0.25">
      <c r="B472" s="53"/>
      <c r="C472" s="53"/>
    </row>
    <row r="473" spans="2:3" x14ac:dyDescent="0.25">
      <c r="B473" s="53"/>
      <c r="C473" s="53"/>
    </row>
    <row r="474" spans="2:3" x14ac:dyDescent="0.25">
      <c r="B474" s="53"/>
      <c r="C474" s="53"/>
    </row>
    <row r="475" spans="2:3" x14ac:dyDescent="0.25">
      <c r="B475" s="53"/>
      <c r="C475" s="53"/>
    </row>
    <row r="476" spans="2:3" x14ac:dyDescent="0.25">
      <c r="B476" s="53"/>
      <c r="C476" s="53"/>
    </row>
    <row r="477" spans="2:3" x14ac:dyDescent="0.25">
      <c r="B477" s="53"/>
      <c r="C477" s="53"/>
    </row>
    <row r="478" spans="2:3" x14ac:dyDescent="0.25">
      <c r="B478" s="53"/>
      <c r="C478" s="53"/>
    </row>
    <row r="479" spans="2:3" x14ac:dyDescent="0.25">
      <c r="B479" s="53"/>
      <c r="C479" s="53"/>
    </row>
    <row r="480" spans="2:3" x14ac:dyDescent="0.25">
      <c r="B480" s="53"/>
      <c r="C480" s="53"/>
    </row>
    <row r="481" spans="2:3" x14ac:dyDescent="0.25">
      <c r="B481" s="53"/>
      <c r="C481" s="53"/>
    </row>
    <row r="482" spans="2:3" x14ac:dyDescent="0.25">
      <c r="B482" s="53"/>
      <c r="C482" s="53"/>
    </row>
    <row r="483" spans="2:3" x14ac:dyDescent="0.25">
      <c r="B483" s="53"/>
      <c r="C483" s="53"/>
    </row>
    <row r="484" spans="2:3" x14ac:dyDescent="0.25">
      <c r="B484" s="53"/>
      <c r="C484" s="53"/>
    </row>
    <row r="485" spans="2:3" x14ac:dyDescent="0.25">
      <c r="B485" s="53"/>
      <c r="C485" s="53"/>
    </row>
    <row r="486" spans="2:3" x14ac:dyDescent="0.25">
      <c r="B486" s="53"/>
      <c r="C486" s="53"/>
    </row>
    <row r="487" spans="2:3" x14ac:dyDescent="0.25">
      <c r="B487" s="53"/>
      <c r="C487" s="53"/>
    </row>
    <row r="488" spans="2:3" x14ac:dyDescent="0.25">
      <c r="B488" s="53"/>
      <c r="C488" s="53"/>
    </row>
    <row r="489" spans="2:3" x14ac:dyDescent="0.25">
      <c r="B489" s="53"/>
      <c r="C489" s="53"/>
    </row>
    <row r="490" spans="2:3" x14ac:dyDescent="0.25">
      <c r="B490" s="53"/>
      <c r="C490" s="53"/>
    </row>
    <row r="491" spans="2:3" x14ac:dyDescent="0.25">
      <c r="B491" s="53"/>
      <c r="C491" s="53"/>
    </row>
    <row r="492" spans="2:3" x14ac:dyDescent="0.25">
      <c r="B492" s="53"/>
      <c r="C492" s="53"/>
    </row>
    <row r="493" spans="2:3" x14ac:dyDescent="0.25">
      <c r="B493" s="53"/>
      <c r="C493" s="53"/>
    </row>
    <row r="494" spans="2:3" x14ac:dyDescent="0.25">
      <c r="B494" s="53"/>
      <c r="C494" s="53"/>
    </row>
    <row r="495" spans="2:3" x14ac:dyDescent="0.25">
      <c r="B495" s="53"/>
      <c r="C495" s="53"/>
    </row>
    <row r="496" spans="2:3" x14ac:dyDescent="0.25">
      <c r="B496" s="53"/>
      <c r="C496" s="53"/>
    </row>
    <row r="497" spans="2:3" x14ac:dyDescent="0.25">
      <c r="B497" s="53"/>
      <c r="C497" s="53"/>
    </row>
    <row r="498" spans="2:3" x14ac:dyDescent="0.25">
      <c r="B498" s="53"/>
      <c r="C498" s="53"/>
    </row>
    <row r="499" spans="2:3" x14ac:dyDescent="0.25">
      <c r="B499" s="53"/>
      <c r="C499" s="53"/>
    </row>
    <row r="500" spans="2:3" x14ac:dyDescent="0.25">
      <c r="B500" s="53"/>
      <c r="C500" s="53"/>
    </row>
    <row r="501" spans="2:3" x14ac:dyDescent="0.25">
      <c r="B501" s="53"/>
      <c r="C501" s="53"/>
    </row>
    <row r="502" spans="2:3" x14ac:dyDescent="0.25">
      <c r="B502" s="53"/>
      <c r="C502" s="53"/>
    </row>
    <row r="503" spans="2:3" x14ac:dyDescent="0.25">
      <c r="B503" s="53"/>
      <c r="C503" s="53"/>
    </row>
    <row r="504" spans="2:3" x14ac:dyDescent="0.25">
      <c r="B504" s="53"/>
      <c r="C504" s="53"/>
    </row>
    <row r="505" spans="2:3" x14ac:dyDescent="0.25">
      <c r="B505" s="53"/>
      <c r="C505" s="53"/>
    </row>
    <row r="506" spans="2:3" x14ac:dyDescent="0.25">
      <c r="B506" s="53"/>
      <c r="C506" s="53"/>
    </row>
    <row r="507" spans="2:3" x14ac:dyDescent="0.25">
      <c r="B507" s="53"/>
      <c r="C507" s="53"/>
    </row>
    <row r="508" spans="2:3" x14ac:dyDescent="0.25">
      <c r="B508" s="53"/>
      <c r="C508" s="53"/>
    </row>
    <row r="509" spans="2:3" x14ac:dyDescent="0.25">
      <c r="B509" s="53"/>
      <c r="C509" s="53"/>
    </row>
    <row r="510" spans="2:3" x14ac:dyDescent="0.25">
      <c r="B510" s="53"/>
      <c r="C510" s="53"/>
    </row>
    <row r="511" spans="2:3" x14ac:dyDescent="0.25">
      <c r="B511" s="53"/>
      <c r="C511" s="53"/>
    </row>
    <row r="512" spans="2:3" x14ac:dyDescent="0.25">
      <c r="B512" s="53"/>
      <c r="C512" s="53"/>
    </row>
    <row r="513" spans="2:3" x14ac:dyDescent="0.25">
      <c r="B513" s="53"/>
      <c r="C513" s="53"/>
    </row>
    <row r="514" spans="2:3" x14ac:dyDescent="0.25">
      <c r="B514" s="53"/>
      <c r="C514" s="53"/>
    </row>
    <row r="515" spans="2:3" x14ac:dyDescent="0.25">
      <c r="B515" s="53"/>
      <c r="C515" s="53"/>
    </row>
    <row r="516" spans="2:3" x14ac:dyDescent="0.25">
      <c r="B516" s="53"/>
      <c r="C516" s="53"/>
    </row>
    <row r="517" spans="2:3" x14ac:dyDescent="0.25">
      <c r="B517" s="53"/>
      <c r="C517" s="53"/>
    </row>
    <row r="518" spans="2:3" x14ac:dyDescent="0.25">
      <c r="B518" s="53"/>
      <c r="C518" s="53"/>
    </row>
    <row r="519" spans="2:3" x14ac:dyDescent="0.25">
      <c r="B519" s="53"/>
      <c r="C519" s="53"/>
    </row>
    <row r="520" spans="2:3" x14ac:dyDescent="0.25">
      <c r="B520" s="53"/>
      <c r="C520" s="53"/>
    </row>
    <row r="521" spans="2:3" x14ac:dyDescent="0.25">
      <c r="B521" s="53"/>
      <c r="C521" s="53"/>
    </row>
    <row r="522" spans="2:3" x14ac:dyDescent="0.25">
      <c r="B522" s="53"/>
      <c r="C522" s="53"/>
    </row>
    <row r="523" spans="2:3" x14ac:dyDescent="0.25">
      <c r="B523" s="53"/>
      <c r="C523" s="53"/>
    </row>
    <row r="524" spans="2:3" x14ac:dyDescent="0.25">
      <c r="B524" s="53"/>
      <c r="C524" s="53"/>
    </row>
    <row r="525" spans="2:3" x14ac:dyDescent="0.25">
      <c r="B525" s="53"/>
      <c r="C525" s="53"/>
    </row>
    <row r="526" spans="2:3" x14ac:dyDescent="0.25">
      <c r="B526" s="53"/>
      <c r="C526" s="53"/>
    </row>
    <row r="527" spans="2:3" x14ac:dyDescent="0.25">
      <c r="B527" s="53"/>
      <c r="C527" s="53"/>
    </row>
    <row r="528" spans="2:3" x14ac:dyDescent="0.25">
      <c r="B528" s="53"/>
      <c r="C528" s="53"/>
    </row>
    <row r="529" spans="2:3" x14ac:dyDescent="0.25">
      <c r="B529" s="53"/>
      <c r="C529" s="53"/>
    </row>
    <row r="530" spans="2:3" x14ac:dyDescent="0.25">
      <c r="B530" s="53"/>
      <c r="C530" s="53"/>
    </row>
    <row r="531" spans="2:3" x14ac:dyDescent="0.25">
      <c r="B531" s="53"/>
      <c r="C531" s="53"/>
    </row>
    <row r="532" spans="2:3" x14ac:dyDescent="0.25">
      <c r="B532" s="53"/>
      <c r="C532" s="53"/>
    </row>
    <row r="533" spans="2:3" x14ac:dyDescent="0.25">
      <c r="B533" s="53"/>
      <c r="C533" s="53"/>
    </row>
    <row r="534" spans="2:3" x14ac:dyDescent="0.25">
      <c r="B534" s="53"/>
      <c r="C534" s="53"/>
    </row>
    <row r="535" spans="2:3" x14ac:dyDescent="0.25">
      <c r="B535" s="53"/>
      <c r="C535" s="53"/>
    </row>
    <row r="536" spans="2:3" x14ac:dyDescent="0.25">
      <c r="B536" s="53"/>
      <c r="C536" s="53"/>
    </row>
    <row r="537" spans="2:3" x14ac:dyDescent="0.25">
      <c r="B537" s="53"/>
      <c r="C537" s="53"/>
    </row>
    <row r="538" spans="2:3" x14ac:dyDescent="0.25">
      <c r="B538" s="53"/>
      <c r="C538" s="53"/>
    </row>
    <row r="539" spans="2:3" x14ac:dyDescent="0.25">
      <c r="B539" s="53"/>
      <c r="C539" s="53"/>
    </row>
    <row r="540" spans="2:3" x14ac:dyDescent="0.25">
      <c r="B540" s="53"/>
      <c r="C540" s="53"/>
    </row>
    <row r="541" spans="2:3" x14ac:dyDescent="0.25">
      <c r="B541" s="53"/>
      <c r="C541" s="53"/>
    </row>
    <row r="542" spans="2:3" x14ac:dyDescent="0.25">
      <c r="B542" s="53"/>
      <c r="C542" s="53"/>
    </row>
    <row r="543" spans="2:3" x14ac:dyDescent="0.25">
      <c r="B543" s="53"/>
      <c r="C543" s="53"/>
    </row>
    <row r="544" spans="2:3" x14ac:dyDescent="0.25">
      <c r="B544" s="53"/>
      <c r="C544" s="53"/>
    </row>
    <row r="545" spans="2:3" x14ac:dyDescent="0.25">
      <c r="B545" s="53"/>
      <c r="C545" s="53"/>
    </row>
    <row r="546" spans="2:3" x14ac:dyDescent="0.25">
      <c r="B546" s="53"/>
      <c r="C546" s="53"/>
    </row>
    <row r="547" spans="2:3" x14ac:dyDescent="0.25">
      <c r="B547" s="53"/>
      <c r="C547" s="53"/>
    </row>
    <row r="548" spans="2:3" x14ac:dyDescent="0.25">
      <c r="B548" s="53"/>
      <c r="C548" s="53"/>
    </row>
    <row r="549" spans="2:3" x14ac:dyDescent="0.25">
      <c r="B549" s="53"/>
      <c r="C549" s="53"/>
    </row>
    <row r="550" spans="2:3" x14ac:dyDescent="0.25">
      <c r="B550" s="53"/>
      <c r="C550" s="53"/>
    </row>
    <row r="551" spans="2:3" x14ac:dyDescent="0.25">
      <c r="B551" s="53"/>
      <c r="C551" s="53"/>
    </row>
    <row r="552" spans="2:3" x14ac:dyDescent="0.25">
      <c r="B552" s="53"/>
      <c r="C552" s="53"/>
    </row>
    <row r="553" spans="2:3" x14ac:dyDescent="0.25">
      <c r="B553" s="53"/>
      <c r="C553" s="53"/>
    </row>
    <row r="554" spans="2:3" x14ac:dyDescent="0.25">
      <c r="B554" s="53"/>
      <c r="C554" s="53"/>
    </row>
    <row r="555" spans="2:3" x14ac:dyDescent="0.25">
      <c r="B555" s="53"/>
      <c r="C555" s="53"/>
    </row>
    <row r="556" spans="2:3" x14ac:dyDescent="0.25">
      <c r="B556" s="53"/>
      <c r="C556" s="53"/>
    </row>
    <row r="557" spans="2:3" x14ac:dyDescent="0.25">
      <c r="B557" s="53"/>
      <c r="C557" s="53"/>
    </row>
    <row r="558" spans="2:3" x14ac:dyDescent="0.25">
      <c r="B558" s="53"/>
      <c r="C558" s="53"/>
    </row>
    <row r="559" spans="2:3" x14ac:dyDescent="0.25">
      <c r="B559" s="53"/>
      <c r="C559" s="53"/>
    </row>
    <row r="560" spans="2:3" x14ac:dyDescent="0.25">
      <c r="B560" s="53"/>
      <c r="C560" s="53"/>
    </row>
    <row r="561" spans="2:3" x14ac:dyDescent="0.25">
      <c r="B561" s="53"/>
      <c r="C561" s="53"/>
    </row>
    <row r="562" spans="2:3" x14ac:dyDescent="0.25">
      <c r="B562" s="53"/>
      <c r="C562" s="53"/>
    </row>
    <row r="563" spans="2:3" x14ac:dyDescent="0.25">
      <c r="B563" s="53"/>
      <c r="C563" s="53"/>
    </row>
    <row r="564" spans="2:3" x14ac:dyDescent="0.25">
      <c r="B564" s="53"/>
      <c r="C564" s="53"/>
    </row>
    <row r="565" spans="2:3" x14ac:dyDescent="0.25">
      <c r="B565" s="53"/>
      <c r="C565" s="53"/>
    </row>
    <row r="566" spans="2:3" x14ac:dyDescent="0.25">
      <c r="B566" s="53"/>
      <c r="C566" s="53"/>
    </row>
    <row r="567" spans="2:3" x14ac:dyDescent="0.25">
      <c r="B567" s="53"/>
      <c r="C567" s="53"/>
    </row>
    <row r="568" spans="2:3" x14ac:dyDescent="0.25">
      <c r="B568" s="53"/>
      <c r="C568" s="53"/>
    </row>
    <row r="569" spans="2:3" x14ac:dyDescent="0.25">
      <c r="B569" s="53"/>
      <c r="C569" s="53"/>
    </row>
    <row r="570" spans="2:3" x14ac:dyDescent="0.25">
      <c r="B570" s="53"/>
      <c r="C570" s="53"/>
    </row>
    <row r="571" spans="2:3" x14ac:dyDescent="0.25">
      <c r="B571" s="53"/>
      <c r="C571" s="53"/>
    </row>
    <row r="572" spans="2:3" x14ac:dyDescent="0.25">
      <c r="B572" s="53"/>
      <c r="C572" s="53"/>
    </row>
    <row r="573" spans="2:3" x14ac:dyDescent="0.25">
      <c r="B573" s="53"/>
      <c r="C573" s="53"/>
    </row>
    <row r="574" spans="2:3" x14ac:dyDescent="0.25">
      <c r="B574" s="53"/>
      <c r="C574" s="53"/>
    </row>
    <row r="575" spans="2:3" x14ac:dyDescent="0.25">
      <c r="B575" s="53"/>
      <c r="C575" s="53"/>
    </row>
    <row r="576" spans="2:3" x14ac:dyDescent="0.25">
      <c r="B576" s="53"/>
      <c r="C576" s="53"/>
    </row>
    <row r="577" spans="2:3" x14ac:dyDescent="0.25">
      <c r="B577" s="53"/>
      <c r="C577" s="53"/>
    </row>
    <row r="578" spans="2:3" x14ac:dyDescent="0.25">
      <c r="B578" s="53"/>
      <c r="C578" s="53"/>
    </row>
    <row r="579" spans="2:3" x14ac:dyDescent="0.25">
      <c r="B579" s="53"/>
      <c r="C579" s="53"/>
    </row>
    <row r="580" spans="2:3" x14ac:dyDescent="0.25">
      <c r="B580" s="53"/>
      <c r="C580" s="53"/>
    </row>
    <row r="581" spans="2:3" x14ac:dyDescent="0.25">
      <c r="B581" s="53"/>
      <c r="C581" s="53"/>
    </row>
    <row r="582" spans="2:3" x14ac:dyDescent="0.25">
      <c r="B582" s="53"/>
      <c r="C582" s="53"/>
    </row>
    <row r="583" spans="2:3" x14ac:dyDescent="0.25">
      <c r="B583" s="53"/>
      <c r="C583" s="53"/>
    </row>
    <row r="584" spans="2:3" x14ac:dyDescent="0.25">
      <c r="B584" s="53"/>
      <c r="C584" s="53"/>
    </row>
    <row r="585" spans="2:3" x14ac:dyDescent="0.25">
      <c r="B585" s="53"/>
      <c r="C585" s="53"/>
    </row>
    <row r="586" spans="2:3" x14ac:dyDescent="0.25">
      <c r="B586" s="53"/>
      <c r="C586" s="53"/>
    </row>
    <row r="587" spans="2:3" x14ac:dyDescent="0.25">
      <c r="B587" s="53"/>
      <c r="C587" s="53"/>
    </row>
    <row r="588" spans="2:3" x14ac:dyDescent="0.25">
      <c r="B588" s="53"/>
      <c r="C588" s="53"/>
    </row>
    <row r="589" spans="2:3" x14ac:dyDescent="0.25">
      <c r="B589" s="53"/>
      <c r="C589" s="53"/>
    </row>
    <row r="590" spans="2:3" x14ac:dyDescent="0.25">
      <c r="B590" s="53"/>
      <c r="C590" s="53"/>
    </row>
    <row r="591" spans="2:3" x14ac:dyDescent="0.25">
      <c r="B591" s="53"/>
      <c r="C591" s="53"/>
    </row>
    <row r="592" spans="2:3" x14ac:dyDescent="0.25">
      <c r="B592" s="53"/>
      <c r="C592" s="53"/>
    </row>
    <row r="593" spans="2:3" x14ac:dyDescent="0.25">
      <c r="B593" s="53"/>
      <c r="C593" s="53"/>
    </row>
    <row r="594" spans="2:3" x14ac:dyDescent="0.25">
      <c r="B594" s="53"/>
      <c r="C594" s="53"/>
    </row>
    <row r="595" spans="2:3" x14ac:dyDescent="0.25">
      <c r="B595" s="53"/>
      <c r="C595" s="53"/>
    </row>
    <row r="596" spans="2:3" x14ac:dyDescent="0.25">
      <c r="B596" s="53"/>
      <c r="C596" s="53"/>
    </row>
    <row r="597" spans="2:3" x14ac:dyDescent="0.25">
      <c r="B597" s="53"/>
      <c r="C597" s="53"/>
    </row>
    <row r="598" spans="2:3" x14ac:dyDescent="0.25">
      <c r="B598" s="53"/>
      <c r="C598" s="53"/>
    </row>
    <row r="599" spans="2:3" x14ac:dyDescent="0.25">
      <c r="B599" s="53"/>
      <c r="C599" s="53"/>
    </row>
    <row r="600" spans="2:3" x14ac:dyDescent="0.25">
      <c r="B600" s="53"/>
      <c r="C600" s="53"/>
    </row>
    <row r="601" spans="2:3" x14ac:dyDescent="0.25">
      <c r="B601" s="53"/>
      <c r="C601" s="53"/>
    </row>
    <row r="602" spans="2:3" x14ac:dyDescent="0.25">
      <c r="B602" s="53"/>
      <c r="C602" s="53"/>
    </row>
    <row r="603" spans="2:3" x14ac:dyDescent="0.25">
      <c r="B603" s="53"/>
      <c r="C603" s="53"/>
    </row>
    <row r="604" spans="2:3" x14ac:dyDescent="0.25">
      <c r="B604" s="53"/>
      <c r="C604" s="53"/>
    </row>
    <row r="605" spans="2:3" x14ac:dyDescent="0.25">
      <c r="B605" s="53"/>
      <c r="C605" s="53"/>
    </row>
    <row r="606" spans="2:3" x14ac:dyDescent="0.25">
      <c r="B606" s="53"/>
      <c r="C606" s="53"/>
    </row>
    <row r="607" spans="2:3" x14ac:dyDescent="0.25">
      <c r="B607" s="53"/>
      <c r="C607" s="53"/>
    </row>
    <row r="608" spans="2:3" x14ac:dyDescent="0.25">
      <c r="B608" s="53"/>
      <c r="C608" s="53"/>
    </row>
    <row r="609" spans="2:3" x14ac:dyDescent="0.25">
      <c r="B609" s="53"/>
      <c r="C609" s="53"/>
    </row>
    <row r="610" spans="2:3" x14ac:dyDescent="0.25">
      <c r="B610" s="53"/>
      <c r="C610" s="53"/>
    </row>
    <row r="611" spans="2:3" x14ac:dyDescent="0.25">
      <c r="B611" s="53"/>
      <c r="C611" s="53"/>
    </row>
    <row r="612" spans="2:3" x14ac:dyDescent="0.25">
      <c r="B612" s="53"/>
      <c r="C612" s="53"/>
    </row>
    <row r="613" spans="2:3" x14ac:dyDescent="0.25">
      <c r="B613" s="53"/>
      <c r="C613" s="53"/>
    </row>
    <row r="614" spans="2:3" x14ac:dyDescent="0.25">
      <c r="B614" s="53"/>
      <c r="C614" s="53"/>
    </row>
    <row r="615" spans="2:3" x14ac:dyDescent="0.25">
      <c r="B615" s="53"/>
      <c r="C615" s="53"/>
    </row>
    <row r="616" spans="2:3" x14ac:dyDescent="0.25">
      <c r="B616" s="53"/>
      <c r="C616" s="53"/>
    </row>
    <row r="617" spans="2:3" x14ac:dyDescent="0.25">
      <c r="B617" s="53"/>
      <c r="C617" s="53"/>
    </row>
    <row r="618" spans="2:3" x14ac:dyDescent="0.25">
      <c r="B618" s="53"/>
      <c r="C618" s="53"/>
    </row>
    <row r="619" spans="2:3" x14ac:dyDescent="0.25">
      <c r="B619" s="53"/>
      <c r="C619" s="53"/>
    </row>
    <row r="620" spans="2:3" x14ac:dyDescent="0.25">
      <c r="B620" s="53"/>
      <c r="C620" s="53"/>
    </row>
    <row r="621" spans="2:3" x14ac:dyDescent="0.25">
      <c r="B621" s="53"/>
      <c r="C621" s="53"/>
    </row>
    <row r="622" spans="2:3" x14ac:dyDescent="0.25">
      <c r="B622" s="53"/>
      <c r="C622" s="53"/>
    </row>
    <row r="623" spans="2:3" x14ac:dyDescent="0.25">
      <c r="B623" s="53"/>
      <c r="C623" s="53"/>
    </row>
    <row r="624" spans="2:3" x14ac:dyDescent="0.25">
      <c r="B624" s="53"/>
      <c r="C624" s="53"/>
    </row>
    <row r="625" spans="2:3" x14ac:dyDescent="0.25">
      <c r="B625" s="53"/>
      <c r="C625" s="53"/>
    </row>
    <row r="626" spans="2:3" x14ac:dyDescent="0.25">
      <c r="B626" s="53"/>
      <c r="C626" s="53"/>
    </row>
    <row r="627" spans="2:3" x14ac:dyDescent="0.25">
      <c r="B627" s="53"/>
      <c r="C627" s="53"/>
    </row>
    <row r="628" spans="2:3" x14ac:dyDescent="0.25">
      <c r="B628" s="53"/>
      <c r="C628" s="53"/>
    </row>
    <row r="629" spans="2:3" x14ac:dyDescent="0.25">
      <c r="B629" s="53"/>
      <c r="C629" s="53"/>
    </row>
    <row r="630" spans="2:3" x14ac:dyDescent="0.25">
      <c r="B630" s="53"/>
      <c r="C630" s="53"/>
    </row>
    <row r="631" spans="2:3" x14ac:dyDescent="0.25">
      <c r="B631" s="53"/>
      <c r="C631" s="53"/>
    </row>
    <row r="632" spans="2:3" x14ac:dyDescent="0.25">
      <c r="B632" s="53"/>
      <c r="C632" s="53"/>
    </row>
    <row r="633" spans="2:3" x14ac:dyDescent="0.25">
      <c r="B633" s="53"/>
      <c r="C633" s="53"/>
    </row>
    <row r="634" spans="2:3" x14ac:dyDescent="0.25">
      <c r="B634" s="53"/>
      <c r="C634" s="53"/>
    </row>
    <row r="635" spans="2:3" x14ac:dyDescent="0.25">
      <c r="B635" s="53"/>
      <c r="C635" s="53"/>
    </row>
    <row r="636" spans="2:3" x14ac:dyDescent="0.25">
      <c r="B636" s="53"/>
      <c r="C636" s="53"/>
    </row>
    <row r="637" spans="2:3" x14ac:dyDescent="0.25">
      <c r="B637" s="53"/>
      <c r="C637" s="53"/>
    </row>
    <row r="638" spans="2:3" x14ac:dyDescent="0.25">
      <c r="B638" s="53"/>
      <c r="C638" s="53"/>
    </row>
    <row r="639" spans="2:3" x14ac:dyDescent="0.25">
      <c r="B639" s="53"/>
      <c r="C639" s="53"/>
    </row>
    <row r="640" spans="2:3" x14ac:dyDescent="0.25">
      <c r="B640" s="53"/>
      <c r="C640" s="53"/>
    </row>
    <row r="641" spans="2:3" x14ac:dyDescent="0.25">
      <c r="B641" s="53"/>
      <c r="C641" s="53"/>
    </row>
    <row r="642" spans="2:3" x14ac:dyDescent="0.25">
      <c r="B642" s="53"/>
      <c r="C642" s="53"/>
    </row>
    <row r="643" spans="2:3" x14ac:dyDescent="0.25">
      <c r="B643" s="53"/>
      <c r="C643" s="53"/>
    </row>
    <row r="644" spans="2:3" x14ac:dyDescent="0.25">
      <c r="B644" s="53"/>
      <c r="C644" s="53"/>
    </row>
    <row r="645" spans="2:3" x14ac:dyDescent="0.25">
      <c r="B645" s="53"/>
      <c r="C645" s="53"/>
    </row>
    <row r="646" spans="2:3" x14ac:dyDescent="0.25">
      <c r="B646" s="53"/>
      <c r="C646" s="53"/>
    </row>
    <row r="647" spans="2:3" x14ac:dyDescent="0.25">
      <c r="B647" s="53"/>
      <c r="C647" s="53"/>
    </row>
    <row r="648" spans="2:3" x14ac:dyDescent="0.25">
      <c r="B648" s="53"/>
      <c r="C648" s="53"/>
    </row>
    <row r="649" spans="2:3" x14ac:dyDescent="0.25">
      <c r="B649" s="53"/>
      <c r="C649" s="53"/>
    </row>
    <row r="650" spans="2:3" x14ac:dyDescent="0.25">
      <c r="B650" s="53"/>
      <c r="C650" s="53"/>
    </row>
    <row r="651" spans="2:3" x14ac:dyDescent="0.25">
      <c r="B651" s="53"/>
      <c r="C651" s="53"/>
    </row>
    <row r="652" spans="2:3" x14ac:dyDescent="0.25">
      <c r="B652" s="53"/>
      <c r="C652" s="53"/>
    </row>
    <row r="653" spans="2:3" x14ac:dyDescent="0.25">
      <c r="B653" s="53"/>
      <c r="C653" s="53"/>
    </row>
    <row r="654" spans="2:3" x14ac:dyDescent="0.25">
      <c r="B654" s="53"/>
      <c r="C654" s="53"/>
    </row>
    <row r="655" spans="2:3" x14ac:dyDescent="0.25">
      <c r="B655" s="53"/>
      <c r="C655" s="53"/>
    </row>
    <row r="656" spans="2:3" x14ac:dyDescent="0.25">
      <c r="B656" s="53"/>
      <c r="C656" s="53"/>
    </row>
    <row r="657" spans="2:3" x14ac:dyDescent="0.25">
      <c r="B657" s="53"/>
      <c r="C657" s="53"/>
    </row>
    <row r="658" spans="2:3" x14ac:dyDescent="0.25">
      <c r="B658" s="53"/>
      <c r="C658" s="53"/>
    </row>
    <row r="659" spans="2:3" x14ac:dyDescent="0.25">
      <c r="B659" s="53"/>
      <c r="C659" s="53"/>
    </row>
    <row r="660" spans="2:3" x14ac:dyDescent="0.25">
      <c r="B660" s="53"/>
      <c r="C660" s="53"/>
    </row>
    <row r="661" spans="2:3" x14ac:dyDescent="0.25">
      <c r="B661" s="53"/>
      <c r="C661" s="53"/>
    </row>
    <row r="662" spans="2:3" x14ac:dyDescent="0.25">
      <c r="B662" s="53"/>
      <c r="C662" s="53"/>
    </row>
    <row r="663" spans="2:3" x14ac:dyDescent="0.25">
      <c r="B663" s="53"/>
      <c r="C663" s="53"/>
    </row>
    <row r="664" spans="2:3" x14ac:dyDescent="0.25">
      <c r="B664" s="53"/>
      <c r="C664" s="53"/>
    </row>
    <row r="665" spans="2:3" x14ac:dyDescent="0.25">
      <c r="B665" s="53"/>
      <c r="C665" s="53"/>
    </row>
    <row r="666" spans="2:3" x14ac:dyDescent="0.25">
      <c r="B666" s="53"/>
      <c r="C666" s="53"/>
    </row>
    <row r="667" spans="2:3" x14ac:dyDescent="0.25">
      <c r="B667" s="53"/>
      <c r="C667" s="53"/>
    </row>
    <row r="668" spans="2:3" x14ac:dyDescent="0.25">
      <c r="B668" s="53"/>
      <c r="C668" s="53"/>
    </row>
    <row r="669" spans="2:3" x14ac:dyDescent="0.25">
      <c r="B669" s="53"/>
      <c r="C669" s="53"/>
    </row>
    <row r="670" spans="2:3" x14ac:dyDescent="0.25">
      <c r="B670" s="53"/>
      <c r="C670" s="53"/>
    </row>
    <row r="671" spans="2:3" x14ac:dyDescent="0.25">
      <c r="B671" s="53"/>
      <c r="C671" s="53"/>
    </row>
    <row r="672" spans="2:3" x14ac:dyDescent="0.25">
      <c r="B672" s="53"/>
      <c r="C672" s="53"/>
    </row>
    <row r="673" spans="2:3" x14ac:dyDescent="0.25">
      <c r="B673" s="53"/>
      <c r="C673" s="53"/>
    </row>
    <row r="674" spans="2:3" x14ac:dyDescent="0.25">
      <c r="B674" s="53"/>
      <c r="C674" s="53"/>
    </row>
    <row r="675" spans="2:3" x14ac:dyDescent="0.25">
      <c r="B675" s="53"/>
      <c r="C675" s="53"/>
    </row>
    <row r="676" spans="2:3" x14ac:dyDescent="0.25">
      <c r="B676" s="53"/>
      <c r="C676" s="53"/>
    </row>
    <row r="677" spans="2:3" x14ac:dyDescent="0.25">
      <c r="B677" s="53"/>
      <c r="C677" s="53"/>
    </row>
    <row r="678" spans="2:3" x14ac:dyDescent="0.25">
      <c r="B678" s="53"/>
      <c r="C678" s="53"/>
    </row>
    <row r="679" spans="2:3" x14ac:dyDescent="0.25">
      <c r="B679" s="53"/>
      <c r="C679" s="53"/>
    </row>
    <row r="680" spans="2:3" x14ac:dyDescent="0.25">
      <c r="B680" s="53"/>
      <c r="C680" s="53"/>
    </row>
    <row r="681" spans="2:3" x14ac:dyDescent="0.25">
      <c r="B681" s="53"/>
      <c r="C681" s="53"/>
    </row>
    <row r="682" spans="2:3" x14ac:dyDescent="0.25">
      <c r="B682" s="53"/>
      <c r="C682" s="53"/>
    </row>
    <row r="683" spans="2:3" x14ac:dyDescent="0.25">
      <c r="B683" s="53"/>
      <c r="C683" s="53"/>
    </row>
    <row r="684" spans="2:3" x14ac:dyDescent="0.25">
      <c r="B684" s="53"/>
      <c r="C684" s="53"/>
    </row>
    <row r="685" spans="2:3" x14ac:dyDescent="0.25">
      <c r="B685" s="53"/>
      <c r="C685" s="53"/>
    </row>
    <row r="686" spans="2:3" x14ac:dyDescent="0.25">
      <c r="B686" s="53"/>
      <c r="C686" s="53"/>
    </row>
    <row r="687" spans="2:3" x14ac:dyDescent="0.25">
      <c r="B687" s="53"/>
      <c r="C687" s="53"/>
    </row>
    <row r="688" spans="2:3" x14ac:dyDescent="0.25">
      <c r="B688" s="53"/>
      <c r="C688" s="53"/>
    </row>
    <row r="689" spans="2:3" x14ac:dyDescent="0.25">
      <c r="B689" s="53"/>
      <c r="C689" s="53"/>
    </row>
    <row r="690" spans="2:3" x14ac:dyDescent="0.25">
      <c r="B690" s="53"/>
      <c r="C690" s="53"/>
    </row>
    <row r="691" spans="2:3" x14ac:dyDescent="0.25">
      <c r="B691" s="53"/>
      <c r="C691" s="53"/>
    </row>
    <row r="692" spans="2:3" x14ac:dyDescent="0.25">
      <c r="B692" s="53"/>
      <c r="C692" s="53"/>
    </row>
    <row r="693" spans="2:3" x14ac:dyDescent="0.25">
      <c r="B693" s="53"/>
      <c r="C693" s="53"/>
    </row>
    <row r="694" spans="2:3" x14ac:dyDescent="0.25">
      <c r="B694" s="53"/>
      <c r="C694" s="53"/>
    </row>
    <row r="695" spans="2:3" x14ac:dyDescent="0.25">
      <c r="B695" s="53"/>
      <c r="C695" s="53"/>
    </row>
    <row r="696" spans="2:3" x14ac:dyDescent="0.25">
      <c r="B696" s="53"/>
      <c r="C696" s="53"/>
    </row>
    <row r="697" spans="2:3" x14ac:dyDescent="0.25">
      <c r="B697" s="53"/>
      <c r="C697" s="53"/>
    </row>
    <row r="698" spans="2:3" x14ac:dyDescent="0.25">
      <c r="B698" s="53"/>
      <c r="C698" s="53"/>
    </row>
    <row r="699" spans="2:3" x14ac:dyDescent="0.25">
      <c r="B699" s="53"/>
      <c r="C699" s="53"/>
    </row>
    <row r="700" spans="2:3" x14ac:dyDescent="0.25">
      <c r="B700" s="53"/>
      <c r="C700" s="53"/>
    </row>
    <row r="701" spans="2:3" x14ac:dyDescent="0.25">
      <c r="B701" s="53"/>
      <c r="C701" s="53"/>
    </row>
    <row r="702" spans="2:3" x14ac:dyDescent="0.25">
      <c r="B702" s="53"/>
      <c r="C702" s="53"/>
    </row>
    <row r="703" spans="2:3" x14ac:dyDescent="0.25">
      <c r="B703" s="53"/>
      <c r="C703" s="53"/>
    </row>
    <row r="704" spans="2:3" x14ac:dyDescent="0.25">
      <c r="B704" s="53"/>
      <c r="C704" s="53"/>
    </row>
    <row r="705" spans="2:3" x14ac:dyDescent="0.25">
      <c r="B705" s="53"/>
      <c r="C705" s="53"/>
    </row>
    <row r="706" spans="2:3" x14ac:dyDescent="0.25">
      <c r="B706" s="53"/>
      <c r="C706" s="53"/>
    </row>
    <row r="707" spans="2:3" x14ac:dyDescent="0.25">
      <c r="B707" s="53"/>
      <c r="C707" s="53"/>
    </row>
    <row r="708" spans="2:3" x14ac:dyDescent="0.25">
      <c r="B708" s="53"/>
      <c r="C708" s="53"/>
    </row>
    <row r="709" spans="2:3" x14ac:dyDescent="0.25">
      <c r="B709" s="53"/>
      <c r="C709" s="53"/>
    </row>
    <row r="710" spans="2:3" x14ac:dyDescent="0.25">
      <c r="B710" s="53"/>
      <c r="C710" s="53"/>
    </row>
    <row r="711" spans="2:3" x14ac:dyDescent="0.25">
      <c r="B711" s="53"/>
      <c r="C711" s="53"/>
    </row>
    <row r="712" spans="2:3" x14ac:dyDescent="0.25">
      <c r="B712" s="53"/>
      <c r="C712" s="53"/>
    </row>
    <row r="713" spans="2:3" x14ac:dyDescent="0.25">
      <c r="B713" s="53"/>
      <c r="C713" s="53"/>
    </row>
    <row r="714" spans="2:3" x14ac:dyDescent="0.25">
      <c r="B714" s="53"/>
      <c r="C714" s="53"/>
    </row>
    <row r="715" spans="2:3" x14ac:dyDescent="0.25">
      <c r="B715" s="53"/>
      <c r="C715" s="53"/>
    </row>
    <row r="716" spans="2:3" x14ac:dyDescent="0.25">
      <c r="B716" s="53"/>
      <c r="C716" s="53"/>
    </row>
    <row r="717" spans="2:3" x14ac:dyDescent="0.25">
      <c r="B717" s="53"/>
      <c r="C717" s="53"/>
    </row>
    <row r="718" spans="2:3" x14ac:dyDescent="0.25">
      <c r="B718" s="53"/>
      <c r="C718" s="53"/>
    </row>
    <row r="719" spans="2:3" x14ac:dyDescent="0.25">
      <c r="B719" s="53"/>
      <c r="C719" s="53"/>
    </row>
    <row r="720" spans="2:3" x14ac:dyDescent="0.25">
      <c r="B720" s="53"/>
      <c r="C720" s="53"/>
    </row>
    <row r="721" spans="2:3" x14ac:dyDescent="0.25">
      <c r="B721" s="53"/>
      <c r="C721" s="53"/>
    </row>
    <row r="722" spans="2:3" x14ac:dyDescent="0.25">
      <c r="B722" s="53"/>
      <c r="C722" s="53"/>
    </row>
    <row r="723" spans="2:3" x14ac:dyDescent="0.25">
      <c r="B723" s="53"/>
      <c r="C723" s="53"/>
    </row>
    <row r="724" spans="2:3" x14ac:dyDescent="0.25">
      <c r="B724" s="53"/>
      <c r="C724" s="53"/>
    </row>
    <row r="725" spans="2:3" x14ac:dyDescent="0.25">
      <c r="B725" s="53"/>
      <c r="C725" s="53"/>
    </row>
    <row r="726" spans="2:3" x14ac:dyDescent="0.25">
      <c r="B726" s="53"/>
      <c r="C726" s="53"/>
    </row>
    <row r="727" spans="2:3" x14ac:dyDescent="0.25">
      <c r="B727" s="53"/>
      <c r="C727" s="53"/>
    </row>
    <row r="728" spans="2:3" x14ac:dyDescent="0.25">
      <c r="B728" s="53"/>
      <c r="C728" s="53"/>
    </row>
    <row r="729" spans="2:3" x14ac:dyDescent="0.25">
      <c r="B729" s="53"/>
      <c r="C729" s="53"/>
    </row>
    <row r="730" spans="2:3" x14ac:dyDescent="0.25">
      <c r="B730" s="53"/>
      <c r="C730" s="53"/>
    </row>
    <row r="731" spans="2:3" x14ac:dyDescent="0.25">
      <c r="B731" s="53"/>
      <c r="C731" s="53"/>
    </row>
    <row r="732" spans="2:3" x14ac:dyDescent="0.25">
      <c r="B732" s="53"/>
      <c r="C732" s="53"/>
    </row>
    <row r="733" spans="2:3" x14ac:dyDescent="0.25">
      <c r="B733" s="53"/>
      <c r="C733" s="53"/>
    </row>
    <row r="734" spans="2:3" x14ac:dyDescent="0.25">
      <c r="B734" s="53"/>
      <c r="C734" s="53"/>
    </row>
    <row r="735" spans="2:3" x14ac:dyDescent="0.25">
      <c r="B735" s="53"/>
      <c r="C735" s="53"/>
    </row>
    <row r="736" spans="2:3" x14ac:dyDescent="0.25">
      <c r="B736" s="53"/>
      <c r="C736" s="53"/>
    </row>
    <row r="737" spans="2:3" x14ac:dyDescent="0.25">
      <c r="B737" s="53"/>
      <c r="C737" s="53"/>
    </row>
    <row r="738" spans="2:3" x14ac:dyDescent="0.25">
      <c r="B738" s="53"/>
      <c r="C738" s="53"/>
    </row>
    <row r="739" spans="2:3" x14ac:dyDescent="0.25">
      <c r="B739" s="53"/>
      <c r="C739" s="53"/>
    </row>
    <row r="740" spans="2:3" x14ac:dyDescent="0.25">
      <c r="B740" s="53"/>
      <c r="C740" s="53"/>
    </row>
    <row r="741" spans="2:3" x14ac:dyDescent="0.25">
      <c r="B741" s="53"/>
      <c r="C741" s="53"/>
    </row>
    <row r="742" spans="2:3" x14ac:dyDescent="0.25">
      <c r="B742" s="53"/>
      <c r="C742" s="53"/>
    </row>
    <row r="743" spans="2:3" x14ac:dyDescent="0.25">
      <c r="B743" s="53"/>
      <c r="C743" s="53"/>
    </row>
    <row r="744" spans="2:3" x14ac:dyDescent="0.25">
      <c r="B744" s="53"/>
      <c r="C744" s="53"/>
    </row>
    <row r="745" spans="2:3" x14ac:dyDescent="0.25">
      <c r="B745" s="53"/>
      <c r="C745" s="53"/>
    </row>
    <row r="746" spans="2:3" x14ac:dyDescent="0.25">
      <c r="B746" s="53"/>
      <c r="C746" s="53"/>
    </row>
    <row r="747" spans="2:3" x14ac:dyDescent="0.25">
      <c r="B747" s="53"/>
      <c r="C747" s="53"/>
    </row>
    <row r="748" spans="2:3" x14ac:dyDescent="0.25">
      <c r="B748" s="53"/>
      <c r="C748" s="53"/>
    </row>
    <row r="749" spans="2:3" x14ac:dyDescent="0.25">
      <c r="B749" s="53"/>
      <c r="C749" s="53"/>
    </row>
    <row r="750" spans="2:3" x14ac:dyDescent="0.25">
      <c r="B750" s="53"/>
      <c r="C750" s="53"/>
    </row>
    <row r="751" spans="2:3" x14ac:dyDescent="0.25">
      <c r="B751" s="53"/>
      <c r="C751" s="53"/>
    </row>
    <row r="752" spans="2:3" x14ac:dyDescent="0.25">
      <c r="B752" s="53"/>
      <c r="C752" s="53"/>
    </row>
    <row r="753" spans="2:3" x14ac:dyDescent="0.25">
      <c r="B753" s="53"/>
      <c r="C753" s="53"/>
    </row>
    <row r="754" spans="2:3" x14ac:dyDescent="0.25">
      <c r="B754" s="53"/>
      <c r="C754" s="53"/>
    </row>
    <row r="755" spans="2:3" x14ac:dyDescent="0.25">
      <c r="B755" s="53"/>
      <c r="C755" s="53"/>
    </row>
    <row r="756" spans="2:3" x14ac:dyDescent="0.25">
      <c r="B756" s="53"/>
      <c r="C756" s="53"/>
    </row>
    <row r="757" spans="2:3" x14ac:dyDescent="0.25">
      <c r="B757" s="53"/>
      <c r="C757" s="53"/>
    </row>
    <row r="758" spans="2:3" x14ac:dyDescent="0.25">
      <c r="B758" s="53"/>
      <c r="C758" s="53"/>
    </row>
    <row r="759" spans="2:3" x14ac:dyDescent="0.25">
      <c r="B759" s="53"/>
      <c r="C759" s="53"/>
    </row>
    <row r="760" spans="2:3" x14ac:dyDescent="0.25">
      <c r="B760" s="53"/>
      <c r="C760" s="53"/>
    </row>
    <row r="761" spans="2:3" x14ac:dyDescent="0.25">
      <c r="B761" s="53"/>
      <c r="C761" s="53"/>
    </row>
    <row r="762" spans="2:3" x14ac:dyDescent="0.25">
      <c r="B762" s="53"/>
      <c r="C762" s="53"/>
    </row>
    <row r="763" spans="2:3" x14ac:dyDescent="0.25">
      <c r="B763" s="53"/>
      <c r="C763" s="53"/>
    </row>
    <row r="764" spans="2:3" x14ac:dyDescent="0.25">
      <c r="B764" s="53"/>
      <c r="C764" s="53"/>
    </row>
    <row r="765" spans="2:3" x14ac:dyDescent="0.25">
      <c r="B765" s="53"/>
      <c r="C765" s="53"/>
    </row>
    <row r="766" spans="2:3" x14ac:dyDescent="0.25">
      <c r="B766" s="53"/>
      <c r="C766" s="53"/>
    </row>
    <row r="767" spans="2:3" x14ac:dyDescent="0.25">
      <c r="B767" s="53"/>
      <c r="C767" s="53"/>
    </row>
    <row r="768" spans="2:3" x14ac:dyDescent="0.25">
      <c r="B768" s="53"/>
      <c r="C768" s="53"/>
    </row>
    <row r="769" spans="2:3" x14ac:dyDescent="0.25">
      <c r="B769" s="53"/>
      <c r="C769" s="53"/>
    </row>
    <row r="770" spans="2:3" x14ac:dyDescent="0.25">
      <c r="B770" s="53"/>
      <c r="C770" s="53"/>
    </row>
    <row r="771" spans="2:3" x14ac:dyDescent="0.25">
      <c r="B771" s="53"/>
      <c r="C771" s="53"/>
    </row>
    <row r="772" spans="2:3" x14ac:dyDescent="0.25">
      <c r="B772" s="53"/>
      <c r="C772" s="53"/>
    </row>
    <row r="773" spans="2:3" x14ac:dyDescent="0.25">
      <c r="B773" s="53"/>
      <c r="C773" s="53"/>
    </row>
    <row r="774" spans="2:3" x14ac:dyDescent="0.25">
      <c r="B774" s="53"/>
      <c r="C774" s="53"/>
    </row>
    <row r="775" spans="2:3" x14ac:dyDescent="0.25">
      <c r="B775" s="53"/>
      <c r="C775" s="53"/>
    </row>
    <row r="776" spans="2:3" x14ac:dyDescent="0.25">
      <c r="B776" s="53"/>
      <c r="C776" s="53"/>
    </row>
    <row r="777" spans="2:3" x14ac:dyDescent="0.25">
      <c r="B777" s="53"/>
      <c r="C777" s="53"/>
    </row>
    <row r="778" spans="2:3" x14ac:dyDescent="0.25">
      <c r="B778" s="53"/>
      <c r="C778" s="53"/>
    </row>
    <row r="779" spans="2:3" x14ac:dyDescent="0.25">
      <c r="B779" s="53"/>
      <c r="C779" s="53"/>
    </row>
    <row r="780" spans="2:3" x14ac:dyDescent="0.25">
      <c r="B780" s="53"/>
      <c r="C780" s="53"/>
    </row>
    <row r="781" spans="2:3" x14ac:dyDescent="0.25">
      <c r="B781" s="53"/>
      <c r="C781" s="53"/>
    </row>
    <row r="782" spans="2:3" x14ac:dyDescent="0.25">
      <c r="B782" s="53"/>
      <c r="C782" s="53"/>
    </row>
    <row r="783" spans="2:3" x14ac:dyDescent="0.25">
      <c r="B783" s="53"/>
      <c r="C783" s="53"/>
    </row>
    <row r="784" spans="2:3" x14ac:dyDescent="0.25">
      <c r="B784" s="53"/>
      <c r="C784" s="53"/>
    </row>
    <row r="785" spans="2:3" x14ac:dyDescent="0.25">
      <c r="B785" s="53"/>
      <c r="C785" s="53"/>
    </row>
    <row r="786" spans="2:3" x14ac:dyDescent="0.25">
      <c r="B786" s="53"/>
      <c r="C786" s="53"/>
    </row>
    <row r="787" spans="2:3" x14ac:dyDescent="0.25">
      <c r="B787" s="53"/>
      <c r="C787" s="53"/>
    </row>
    <row r="788" spans="2:3" x14ac:dyDescent="0.25">
      <c r="B788" s="53"/>
      <c r="C788" s="53"/>
    </row>
    <row r="789" spans="2:3" x14ac:dyDescent="0.25">
      <c r="B789" s="53"/>
      <c r="C789" s="53"/>
    </row>
    <row r="790" spans="2:3" x14ac:dyDescent="0.25">
      <c r="B790" s="53"/>
      <c r="C790" s="53"/>
    </row>
    <row r="791" spans="2:3" x14ac:dyDescent="0.25">
      <c r="B791" s="53"/>
      <c r="C791" s="53"/>
    </row>
    <row r="792" spans="2:3" x14ac:dyDescent="0.25">
      <c r="B792" s="53"/>
      <c r="C792" s="53"/>
    </row>
    <row r="793" spans="2:3" x14ac:dyDescent="0.25">
      <c r="B793" s="53"/>
      <c r="C793" s="53"/>
    </row>
    <row r="794" spans="2:3" x14ac:dyDescent="0.25">
      <c r="B794" s="53"/>
      <c r="C794" s="53"/>
    </row>
    <row r="795" spans="2:3" x14ac:dyDescent="0.25">
      <c r="B795" s="53"/>
      <c r="C795" s="53"/>
    </row>
    <row r="796" spans="2:3" x14ac:dyDescent="0.25">
      <c r="B796" s="53"/>
      <c r="C796" s="53"/>
    </row>
    <row r="797" spans="2:3" x14ac:dyDescent="0.25">
      <c r="B797" s="53"/>
      <c r="C797" s="53"/>
    </row>
    <row r="798" spans="2:3" x14ac:dyDescent="0.25">
      <c r="B798" s="53"/>
      <c r="C798" s="53"/>
    </row>
    <row r="799" spans="2:3" x14ac:dyDescent="0.25">
      <c r="B799" s="53"/>
      <c r="C799" s="53"/>
    </row>
    <row r="800" spans="2:3" x14ac:dyDescent="0.25">
      <c r="B800" s="53"/>
      <c r="C800" s="53"/>
    </row>
    <row r="801" spans="2:3" x14ac:dyDescent="0.25">
      <c r="B801" s="53"/>
      <c r="C801" s="53"/>
    </row>
    <row r="802" spans="2:3" x14ac:dyDescent="0.25">
      <c r="B802" s="53"/>
      <c r="C802" s="53"/>
    </row>
    <row r="803" spans="2:3" x14ac:dyDescent="0.25">
      <c r="B803" s="53"/>
      <c r="C803" s="53"/>
    </row>
    <row r="804" spans="2:3" x14ac:dyDescent="0.25">
      <c r="B804" s="53"/>
      <c r="C804" s="53"/>
    </row>
    <row r="805" spans="2:3" x14ac:dyDescent="0.25">
      <c r="B805" s="53"/>
      <c r="C805" s="53"/>
    </row>
    <row r="806" spans="2:3" x14ac:dyDescent="0.25">
      <c r="B806" s="53"/>
      <c r="C806" s="53"/>
    </row>
    <row r="807" spans="2:3" x14ac:dyDescent="0.25">
      <c r="B807" s="53"/>
      <c r="C807" s="53"/>
    </row>
    <row r="808" spans="2:3" x14ac:dyDescent="0.25">
      <c r="B808" s="53"/>
      <c r="C808" s="53"/>
    </row>
    <row r="809" spans="2:3" x14ac:dyDescent="0.25">
      <c r="B809" s="53"/>
      <c r="C809" s="53"/>
    </row>
    <row r="810" spans="2:3" x14ac:dyDescent="0.25">
      <c r="B810" s="53"/>
      <c r="C810" s="53"/>
    </row>
    <row r="811" spans="2:3" x14ac:dyDescent="0.25">
      <c r="B811" s="53"/>
      <c r="C811" s="53"/>
    </row>
    <row r="812" spans="2:3" x14ac:dyDescent="0.25">
      <c r="B812" s="53"/>
      <c r="C812" s="53"/>
    </row>
    <row r="813" spans="2:3" x14ac:dyDescent="0.25">
      <c r="B813" s="53"/>
      <c r="C813" s="53"/>
    </row>
    <row r="814" spans="2:3" x14ac:dyDescent="0.25">
      <c r="B814" s="53"/>
      <c r="C814" s="53"/>
    </row>
    <row r="815" spans="2:3" x14ac:dyDescent="0.25">
      <c r="B815" s="53"/>
      <c r="C815" s="53"/>
    </row>
    <row r="816" spans="2:3" x14ac:dyDescent="0.25">
      <c r="B816" s="53"/>
      <c r="C816" s="53"/>
    </row>
    <row r="817" spans="2:3" x14ac:dyDescent="0.25">
      <c r="B817" s="53"/>
      <c r="C817" s="53"/>
    </row>
    <row r="818" spans="2:3" x14ac:dyDescent="0.25">
      <c r="B818" s="53"/>
      <c r="C818" s="53"/>
    </row>
    <row r="819" spans="2:3" x14ac:dyDescent="0.25">
      <c r="B819" s="53"/>
      <c r="C819" s="53"/>
    </row>
    <row r="820" spans="2:3" x14ac:dyDescent="0.25">
      <c r="B820" s="53"/>
      <c r="C820" s="53"/>
    </row>
    <row r="821" spans="2:3" x14ac:dyDescent="0.25">
      <c r="B821" s="53"/>
      <c r="C821" s="53"/>
    </row>
    <row r="822" spans="2:3" x14ac:dyDescent="0.25">
      <c r="B822" s="53"/>
      <c r="C822" s="53"/>
    </row>
    <row r="823" spans="2:3" x14ac:dyDescent="0.25">
      <c r="B823" s="53"/>
      <c r="C823" s="53"/>
    </row>
    <row r="824" spans="2:3" x14ac:dyDescent="0.25">
      <c r="B824" s="53"/>
      <c r="C824" s="53"/>
    </row>
    <row r="825" spans="2:3" x14ac:dyDescent="0.25">
      <c r="B825" s="53"/>
      <c r="C825" s="53"/>
    </row>
    <row r="826" spans="2:3" x14ac:dyDescent="0.25">
      <c r="B826" s="53"/>
      <c r="C826" s="53"/>
    </row>
    <row r="827" spans="2:3" x14ac:dyDescent="0.25">
      <c r="B827" s="53"/>
      <c r="C827" s="53"/>
    </row>
    <row r="828" spans="2:3" x14ac:dyDescent="0.25">
      <c r="B828" s="53"/>
      <c r="C828" s="53"/>
    </row>
    <row r="829" spans="2:3" x14ac:dyDescent="0.25">
      <c r="B829" s="53"/>
      <c r="C829" s="53"/>
    </row>
    <row r="830" spans="2:3" x14ac:dyDescent="0.25">
      <c r="B830" s="53"/>
      <c r="C830" s="53"/>
    </row>
    <row r="831" spans="2:3" x14ac:dyDescent="0.25">
      <c r="B831" s="53"/>
      <c r="C831" s="53"/>
    </row>
    <row r="832" spans="2:3" x14ac:dyDescent="0.25">
      <c r="B832" s="53"/>
      <c r="C832" s="53"/>
    </row>
    <row r="833" spans="2:3" x14ac:dyDescent="0.25">
      <c r="B833" s="53"/>
      <c r="C833" s="53"/>
    </row>
    <row r="834" spans="2:3" x14ac:dyDescent="0.25">
      <c r="B834" s="53"/>
      <c r="C834" s="53"/>
    </row>
    <row r="835" spans="2:3" x14ac:dyDescent="0.25">
      <c r="B835" s="53"/>
      <c r="C835" s="53"/>
    </row>
    <row r="836" spans="2:3" x14ac:dyDescent="0.25">
      <c r="B836" s="53"/>
      <c r="C836" s="53"/>
    </row>
    <row r="837" spans="2:3" x14ac:dyDescent="0.25">
      <c r="B837" s="53"/>
      <c r="C837" s="53"/>
    </row>
    <row r="838" spans="2:3" x14ac:dyDescent="0.25">
      <c r="B838" s="53"/>
      <c r="C838" s="53"/>
    </row>
    <row r="839" spans="2:3" x14ac:dyDescent="0.25">
      <c r="B839" s="53"/>
      <c r="C839" s="53"/>
    </row>
    <row r="840" spans="2:3" x14ac:dyDescent="0.25">
      <c r="B840" s="53"/>
      <c r="C840" s="53"/>
    </row>
    <row r="841" spans="2:3" x14ac:dyDescent="0.25">
      <c r="B841" s="53"/>
      <c r="C841" s="53"/>
    </row>
    <row r="842" spans="2:3" x14ac:dyDescent="0.25">
      <c r="B842" s="53"/>
      <c r="C842" s="53"/>
    </row>
    <row r="843" spans="2:3" x14ac:dyDescent="0.25">
      <c r="B843" s="53"/>
      <c r="C843" s="53"/>
    </row>
    <row r="844" spans="2:3" x14ac:dyDescent="0.25">
      <c r="B844" s="53"/>
      <c r="C844" s="53"/>
    </row>
    <row r="845" spans="2:3" x14ac:dyDescent="0.25">
      <c r="B845" s="53"/>
      <c r="C845" s="53"/>
    </row>
    <row r="846" spans="2:3" x14ac:dyDescent="0.25">
      <c r="B846" s="53"/>
      <c r="C846" s="53"/>
    </row>
    <row r="847" spans="2:3" x14ac:dyDescent="0.25">
      <c r="B847" s="53"/>
      <c r="C847" s="53"/>
    </row>
    <row r="848" spans="2:3" x14ac:dyDescent="0.25">
      <c r="B848" s="53"/>
      <c r="C848" s="53"/>
    </row>
    <row r="849" spans="2:3" x14ac:dyDescent="0.25">
      <c r="B849" s="53"/>
      <c r="C849" s="53"/>
    </row>
    <row r="850" spans="2:3" x14ac:dyDescent="0.25">
      <c r="B850" s="53"/>
      <c r="C850" s="53"/>
    </row>
    <row r="851" spans="2:3" x14ac:dyDescent="0.25">
      <c r="B851" s="53"/>
      <c r="C851" s="53"/>
    </row>
    <row r="852" spans="2:3" x14ac:dyDescent="0.25">
      <c r="B852" s="53"/>
      <c r="C852" s="53"/>
    </row>
    <row r="853" spans="2:3" x14ac:dyDescent="0.25">
      <c r="B853" s="53"/>
      <c r="C853" s="53"/>
    </row>
    <row r="854" spans="2:3" x14ac:dyDescent="0.25">
      <c r="B854" s="53"/>
      <c r="C854" s="53"/>
    </row>
    <row r="855" spans="2:3" x14ac:dyDescent="0.25">
      <c r="B855" s="53"/>
      <c r="C855" s="53"/>
    </row>
    <row r="856" spans="2:3" x14ac:dyDescent="0.25">
      <c r="B856" s="53"/>
      <c r="C856" s="53"/>
    </row>
    <row r="857" spans="2:3" x14ac:dyDescent="0.25">
      <c r="B857" s="53"/>
      <c r="C857" s="53"/>
    </row>
    <row r="858" spans="2:3" x14ac:dyDescent="0.25">
      <c r="B858" s="53"/>
      <c r="C858" s="53"/>
    </row>
    <row r="859" spans="2:3" x14ac:dyDescent="0.25">
      <c r="B859" s="53"/>
      <c r="C859" s="53"/>
    </row>
    <row r="860" spans="2:3" x14ac:dyDescent="0.25">
      <c r="B860" s="53"/>
      <c r="C860" s="53"/>
    </row>
    <row r="861" spans="2:3" x14ac:dyDescent="0.25">
      <c r="B861" s="53"/>
      <c r="C861" s="53"/>
    </row>
    <row r="862" spans="2:3" x14ac:dyDescent="0.25">
      <c r="B862" s="53"/>
      <c r="C862" s="53"/>
    </row>
    <row r="863" spans="2:3" x14ac:dyDescent="0.25">
      <c r="B863" s="53"/>
      <c r="C863" s="53"/>
    </row>
    <row r="864" spans="2:3" x14ac:dyDescent="0.25">
      <c r="B864" s="53"/>
      <c r="C864" s="53"/>
    </row>
    <row r="865" spans="2:3" x14ac:dyDescent="0.25">
      <c r="B865" s="53"/>
      <c r="C865" s="53"/>
    </row>
    <row r="866" spans="2:3" x14ac:dyDescent="0.25">
      <c r="B866" s="53"/>
      <c r="C866" s="53"/>
    </row>
    <row r="867" spans="2:3" x14ac:dyDescent="0.25">
      <c r="B867" s="53"/>
      <c r="C867" s="53"/>
    </row>
    <row r="868" spans="2:3" x14ac:dyDescent="0.25">
      <c r="B868" s="53"/>
      <c r="C868" s="53"/>
    </row>
    <row r="869" spans="2:3" x14ac:dyDescent="0.25">
      <c r="B869" s="53"/>
      <c r="C869" s="53"/>
    </row>
    <row r="870" spans="2:3" x14ac:dyDescent="0.25">
      <c r="B870" s="53"/>
      <c r="C870" s="53"/>
    </row>
    <row r="871" spans="2:3" x14ac:dyDescent="0.25">
      <c r="B871" s="53"/>
      <c r="C871" s="53"/>
    </row>
    <row r="872" spans="2:3" x14ac:dyDescent="0.25">
      <c r="B872" s="53"/>
      <c r="C872" s="53"/>
    </row>
    <row r="873" spans="2:3" x14ac:dyDescent="0.25">
      <c r="B873" s="53"/>
      <c r="C873" s="53"/>
    </row>
    <row r="874" spans="2:3" x14ac:dyDescent="0.25">
      <c r="B874" s="53"/>
      <c r="C874" s="53"/>
    </row>
    <row r="875" spans="2:3" x14ac:dyDescent="0.25">
      <c r="B875" s="53"/>
      <c r="C875" s="53"/>
    </row>
    <row r="876" spans="2:3" x14ac:dyDescent="0.25">
      <c r="B876" s="53"/>
      <c r="C876" s="53"/>
    </row>
    <row r="877" spans="2:3" x14ac:dyDescent="0.25">
      <c r="B877" s="53"/>
      <c r="C877" s="53"/>
    </row>
    <row r="878" spans="2:3" x14ac:dyDescent="0.25">
      <c r="B878" s="53"/>
      <c r="C878" s="53"/>
    </row>
    <row r="879" spans="2:3" x14ac:dyDescent="0.25">
      <c r="B879" s="53"/>
      <c r="C879" s="53"/>
    </row>
    <row r="880" spans="2:3" x14ac:dyDescent="0.25">
      <c r="B880" s="53"/>
      <c r="C880" s="53"/>
    </row>
    <row r="881" spans="2:3" x14ac:dyDescent="0.25">
      <c r="B881" s="53"/>
      <c r="C881" s="53"/>
    </row>
    <row r="882" spans="2:3" x14ac:dyDescent="0.25">
      <c r="B882" s="53"/>
      <c r="C882" s="53"/>
    </row>
    <row r="883" spans="2:3" x14ac:dyDescent="0.25">
      <c r="B883" s="53"/>
      <c r="C883" s="53"/>
    </row>
    <row r="884" spans="2:3" x14ac:dyDescent="0.25">
      <c r="B884" s="53"/>
      <c r="C884" s="53"/>
    </row>
    <row r="885" spans="2:3" x14ac:dyDescent="0.25">
      <c r="B885" s="53"/>
      <c r="C885" s="53"/>
    </row>
    <row r="886" spans="2:3" x14ac:dyDescent="0.25">
      <c r="B886" s="53"/>
      <c r="C886" s="53"/>
    </row>
    <row r="887" spans="2:3" x14ac:dyDescent="0.25">
      <c r="B887" s="53"/>
      <c r="C887" s="53"/>
    </row>
    <row r="888" spans="2:3" x14ac:dyDescent="0.25">
      <c r="B888" s="53"/>
      <c r="C888" s="53"/>
    </row>
    <row r="889" spans="2:3" x14ac:dyDescent="0.25">
      <c r="B889" s="53"/>
      <c r="C889" s="53"/>
    </row>
    <row r="890" spans="2:3" x14ac:dyDescent="0.25">
      <c r="B890" s="53"/>
      <c r="C890" s="53"/>
    </row>
    <row r="891" spans="2:3" x14ac:dyDescent="0.25">
      <c r="B891" s="53"/>
      <c r="C891" s="53"/>
    </row>
    <row r="892" spans="2:3" x14ac:dyDescent="0.25">
      <c r="B892" s="53"/>
      <c r="C892" s="53"/>
    </row>
    <row r="893" spans="2:3" x14ac:dyDescent="0.25">
      <c r="B893" s="53"/>
      <c r="C893" s="53"/>
    </row>
    <row r="894" spans="2:3" x14ac:dyDescent="0.25">
      <c r="B894" s="53"/>
      <c r="C894" s="53"/>
    </row>
    <row r="895" spans="2:3" x14ac:dyDescent="0.25">
      <c r="B895" s="53"/>
      <c r="C895" s="53"/>
    </row>
    <row r="896" spans="2:3" x14ac:dyDescent="0.25">
      <c r="B896" s="53"/>
      <c r="C896" s="53"/>
    </row>
    <row r="897" spans="2:3" x14ac:dyDescent="0.25">
      <c r="B897" s="53"/>
      <c r="C897" s="53"/>
    </row>
    <row r="898" spans="2:3" x14ac:dyDescent="0.25">
      <c r="B898" s="53"/>
      <c r="C898" s="53"/>
    </row>
    <row r="899" spans="2:3" x14ac:dyDescent="0.25">
      <c r="B899" s="53"/>
      <c r="C899" s="53"/>
    </row>
    <row r="900" spans="2:3" x14ac:dyDescent="0.25">
      <c r="B900" s="53"/>
      <c r="C900" s="53"/>
    </row>
    <row r="901" spans="2:3" x14ac:dyDescent="0.25">
      <c r="B901" s="53"/>
      <c r="C901" s="53"/>
    </row>
    <row r="902" spans="2:3" x14ac:dyDescent="0.25">
      <c r="B902" s="53"/>
      <c r="C902" s="53"/>
    </row>
    <row r="903" spans="2:3" x14ac:dyDescent="0.25">
      <c r="B903" s="53"/>
      <c r="C903" s="53"/>
    </row>
    <row r="904" spans="2:3" x14ac:dyDescent="0.25">
      <c r="B904" s="53"/>
      <c r="C904" s="53"/>
    </row>
    <row r="905" spans="2:3" x14ac:dyDescent="0.25">
      <c r="B905" s="53"/>
      <c r="C905" s="53"/>
    </row>
    <row r="906" spans="2:3" x14ac:dyDescent="0.25">
      <c r="B906" s="53"/>
      <c r="C906" s="53"/>
    </row>
    <row r="907" spans="2:3" x14ac:dyDescent="0.25">
      <c r="B907" s="53"/>
      <c r="C907" s="53"/>
    </row>
    <row r="908" spans="2:3" x14ac:dyDescent="0.25">
      <c r="B908" s="53"/>
      <c r="C908" s="53"/>
    </row>
    <row r="909" spans="2:3" x14ac:dyDescent="0.25">
      <c r="B909" s="53"/>
      <c r="C909" s="53"/>
    </row>
    <row r="910" spans="2:3" x14ac:dyDescent="0.25">
      <c r="B910" s="53"/>
      <c r="C910" s="53"/>
    </row>
    <row r="911" spans="2:3" x14ac:dyDescent="0.25">
      <c r="B911" s="53"/>
      <c r="C911" s="53"/>
    </row>
    <row r="912" spans="2:3" x14ac:dyDescent="0.25">
      <c r="B912" s="53"/>
      <c r="C912" s="53"/>
    </row>
    <row r="913" spans="2:3" x14ac:dyDescent="0.25">
      <c r="B913" s="53"/>
      <c r="C913" s="53"/>
    </row>
    <row r="914" spans="2:3" x14ac:dyDescent="0.25">
      <c r="B914" s="53"/>
      <c r="C914" s="53"/>
    </row>
    <row r="915" spans="2:3" x14ac:dyDescent="0.25">
      <c r="B915" s="53"/>
      <c r="C915" s="53"/>
    </row>
    <row r="916" spans="2:3" x14ac:dyDescent="0.25">
      <c r="B916" s="53"/>
      <c r="C916" s="53"/>
    </row>
    <row r="917" spans="2:3" x14ac:dyDescent="0.25">
      <c r="B917" s="53"/>
      <c r="C917" s="53"/>
    </row>
    <row r="918" spans="2:3" x14ac:dyDescent="0.25">
      <c r="B918" s="53"/>
      <c r="C918" s="53"/>
    </row>
    <row r="919" spans="2:3" x14ac:dyDescent="0.25">
      <c r="B919" s="53"/>
      <c r="C919" s="53"/>
    </row>
    <row r="920" spans="2:3" x14ac:dyDescent="0.25">
      <c r="B920" s="53"/>
      <c r="C920" s="53"/>
    </row>
    <row r="921" spans="2:3" x14ac:dyDescent="0.25">
      <c r="B921" s="53"/>
      <c r="C921" s="53"/>
    </row>
    <row r="922" spans="2:3" x14ac:dyDescent="0.25">
      <c r="B922" s="53"/>
      <c r="C922" s="53"/>
    </row>
    <row r="923" spans="2:3" x14ac:dyDescent="0.25">
      <c r="B923" s="53"/>
      <c r="C923" s="53"/>
    </row>
    <row r="924" spans="2:3" x14ac:dyDescent="0.25">
      <c r="B924" s="53"/>
      <c r="C924" s="53"/>
    </row>
    <row r="925" spans="2:3" x14ac:dyDescent="0.25">
      <c r="B925" s="53"/>
      <c r="C925" s="53"/>
    </row>
    <row r="926" spans="2:3" x14ac:dyDescent="0.25">
      <c r="B926" s="53"/>
      <c r="C926" s="53"/>
    </row>
    <row r="927" spans="2:3" x14ac:dyDescent="0.25">
      <c r="B927" s="53"/>
      <c r="C927" s="53"/>
    </row>
    <row r="928" spans="2:3" x14ac:dyDescent="0.25">
      <c r="B928" s="53"/>
      <c r="C928" s="53"/>
    </row>
    <row r="929" spans="2:3" x14ac:dyDescent="0.25">
      <c r="B929" s="53"/>
      <c r="C929" s="53"/>
    </row>
    <row r="930" spans="2:3" x14ac:dyDescent="0.25">
      <c r="B930" s="53"/>
      <c r="C930" s="53"/>
    </row>
    <row r="931" spans="2:3" x14ac:dyDescent="0.25">
      <c r="B931" s="53"/>
      <c r="C931" s="53"/>
    </row>
    <row r="932" spans="2:3" x14ac:dyDescent="0.25">
      <c r="B932" s="53"/>
      <c r="C932" s="53"/>
    </row>
    <row r="933" spans="2:3" x14ac:dyDescent="0.25">
      <c r="B933" s="53"/>
      <c r="C933" s="53"/>
    </row>
    <row r="934" spans="2:3" x14ac:dyDescent="0.25">
      <c r="B934" s="53"/>
      <c r="C934" s="53"/>
    </row>
    <row r="935" spans="2:3" x14ac:dyDescent="0.25">
      <c r="B935" s="53"/>
      <c r="C935" s="53"/>
    </row>
    <row r="936" spans="2:3" x14ac:dyDescent="0.25">
      <c r="B936" s="53"/>
      <c r="C936" s="53"/>
    </row>
    <row r="937" spans="2:3" x14ac:dyDescent="0.25">
      <c r="B937" s="53"/>
      <c r="C937" s="53"/>
    </row>
    <row r="938" spans="2:3" x14ac:dyDescent="0.25">
      <c r="B938" s="53"/>
      <c r="C938" s="53"/>
    </row>
    <row r="939" spans="2:3" x14ac:dyDescent="0.25">
      <c r="B939" s="53"/>
      <c r="C939" s="53"/>
    </row>
    <row r="940" spans="2:3" x14ac:dyDescent="0.25">
      <c r="B940" s="53"/>
      <c r="C940" s="53"/>
    </row>
    <row r="941" spans="2:3" x14ac:dyDescent="0.25">
      <c r="B941" s="53"/>
      <c r="C941" s="53"/>
    </row>
    <row r="942" spans="2:3" x14ac:dyDescent="0.25">
      <c r="B942" s="53"/>
      <c r="C942" s="53"/>
    </row>
    <row r="943" spans="2:3" x14ac:dyDescent="0.25">
      <c r="B943" s="53"/>
      <c r="C943" s="53"/>
    </row>
    <row r="944" spans="2:3" x14ac:dyDescent="0.25">
      <c r="B944" s="53"/>
      <c r="C944" s="53"/>
    </row>
    <row r="945" spans="2:3" x14ac:dyDescent="0.25">
      <c r="B945" s="53"/>
      <c r="C945" s="53"/>
    </row>
    <row r="946" spans="2:3" x14ac:dyDescent="0.25">
      <c r="B946" s="53"/>
      <c r="C946" s="53"/>
    </row>
    <row r="947" spans="2:3" x14ac:dyDescent="0.25">
      <c r="B947" s="53"/>
      <c r="C947" s="53"/>
    </row>
    <row r="948" spans="2:3" x14ac:dyDescent="0.25">
      <c r="B948" s="53"/>
      <c r="C948" s="53"/>
    </row>
    <row r="949" spans="2:3" x14ac:dyDescent="0.25">
      <c r="B949" s="53"/>
      <c r="C949" s="53"/>
    </row>
    <row r="950" spans="2:3" x14ac:dyDescent="0.25">
      <c r="B950" s="53"/>
      <c r="C950" s="53"/>
    </row>
    <row r="951" spans="2:3" x14ac:dyDescent="0.25">
      <c r="B951" s="53"/>
      <c r="C951" s="53"/>
    </row>
    <row r="952" spans="2:3" x14ac:dyDescent="0.25">
      <c r="B952" s="53"/>
      <c r="C952" s="53"/>
    </row>
    <row r="953" spans="2:3" x14ac:dyDescent="0.25">
      <c r="B953" s="53"/>
      <c r="C953" s="53"/>
    </row>
    <row r="954" spans="2:3" x14ac:dyDescent="0.25">
      <c r="B954" s="53"/>
      <c r="C954" s="53"/>
    </row>
    <row r="955" spans="2:3" x14ac:dyDescent="0.25">
      <c r="B955" s="53"/>
      <c r="C955" s="53"/>
    </row>
    <row r="956" spans="2:3" x14ac:dyDescent="0.25">
      <c r="B956" s="53"/>
      <c r="C956" s="53"/>
    </row>
    <row r="957" spans="2:3" x14ac:dyDescent="0.25">
      <c r="B957" s="53"/>
      <c r="C957" s="53"/>
    </row>
    <row r="958" spans="2:3" x14ac:dyDescent="0.25">
      <c r="B958" s="53"/>
      <c r="C958" s="53"/>
    </row>
    <row r="959" spans="2:3" x14ac:dyDescent="0.25">
      <c r="B959" s="53"/>
      <c r="C959" s="53"/>
    </row>
    <row r="960" spans="2:3" x14ac:dyDescent="0.25">
      <c r="B960" s="53"/>
      <c r="C960" s="53"/>
    </row>
    <row r="961" spans="2:3" x14ac:dyDescent="0.25">
      <c r="B961" s="53"/>
      <c r="C961" s="53"/>
    </row>
    <row r="962" spans="2:3" x14ac:dyDescent="0.25">
      <c r="B962" s="53"/>
      <c r="C962" s="53"/>
    </row>
    <row r="963" spans="2:3" x14ac:dyDescent="0.25">
      <c r="B963" s="53"/>
      <c r="C963" s="53"/>
    </row>
    <row r="964" spans="2:3" x14ac:dyDescent="0.25">
      <c r="B964" s="53"/>
      <c r="C964" s="53"/>
    </row>
    <row r="965" spans="2:3" x14ac:dyDescent="0.25">
      <c r="B965" s="53"/>
      <c r="C965" s="53"/>
    </row>
    <row r="966" spans="2:3" x14ac:dyDescent="0.25">
      <c r="B966" s="53"/>
      <c r="C966" s="53"/>
    </row>
    <row r="967" spans="2:3" x14ac:dyDescent="0.25">
      <c r="B967" s="53"/>
      <c r="C967" s="53"/>
    </row>
    <row r="968" spans="2:3" x14ac:dyDescent="0.25">
      <c r="B968" s="53"/>
      <c r="C968" s="53"/>
    </row>
    <row r="969" spans="2:3" x14ac:dyDescent="0.25">
      <c r="B969" s="53"/>
      <c r="C969" s="53"/>
    </row>
    <row r="970" spans="2:3" x14ac:dyDescent="0.25">
      <c r="B970" s="53"/>
      <c r="C970" s="53"/>
    </row>
    <row r="971" spans="2:3" x14ac:dyDescent="0.25">
      <c r="B971" s="53"/>
      <c r="C971" s="53"/>
    </row>
    <row r="972" spans="2:3" x14ac:dyDescent="0.25">
      <c r="B972" s="53"/>
      <c r="C972" s="53"/>
    </row>
    <row r="973" spans="2:3" x14ac:dyDescent="0.25">
      <c r="B973" s="53"/>
      <c r="C973" s="53"/>
    </row>
    <row r="974" spans="2:3" x14ac:dyDescent="0.25">
      <c r="B974" s="53"/>
      <c r="C974" s="53"/>
    </row>
    <row r="975" spans="2:3" x14ac:dyDescent="0.25">
      <c r="B975" s="53"/>
      <c r="C975" s="53"/>
    </row>
    <row r="976" spans="2:3" x14ac:dyDescent="0.25">
      <c r="B976" s="53"/>
      <c r="C976" s="53"/>
    </row>
    <row r="977" spans="2:3" x14ac:dyDescent="0.25">
      <c r="B977" s="53"/>
      <c r="C977" s="53"/>
    </row>
    <row r="978" spans="2:3" x14ac:dyDescent="0.25">
      <c r="B978" s="53"/>
      <c r="C978" s="53"/>
    </row>
    <row r="979" spans="2:3" x14ac:dyDescent="0.25">
      <c r="B979" s="53"/>
      <c r="C979" s="53"/>
    </row>
    <row r="980" spans="2:3" x14ac:dyDescent="0.25">
      <c r="B980" s="53"/>
      <c r="C980" s="53"/>
    </row>
    <row r="981" spans="2:3" x14ac:dyDescent="0.25">
      <c r="B981" s="53"/>
      <c r="C981" s="53"/>
    </row>
    <row r="982" spans="2:3" x14ac:dyDescent="0.25">
      <c r="B982" s="53"/>
      <c r="C982" s="53"/>
    </row>
    <row r="983" spans="2:3" x14ac:dyDescent="0.25">
      <c r="B983" s="53"/>
      <c r="C983" s="53"/>
    </row>
    <row r="984" spans="2:3" x14ac:dyDescent="0.25">
      <c r="B984" s="53"/>
      <c r="C984" s="53"/>
    </row>
    <row r="985" spans="2:3" x14ac:dyDescent="0.25">
      <c r="B985" s="53"/>
      <c r="C985" s="53"/>
    </row>
    <row r="986" spans="2:3" x14ac:dyDescent="0.25">
      <c r="B986" s="53"/>
      <c r="C986" s="53"/>
    </row>
    <row r="987" spans="2:3" x14ac:dyDescent="0.25">
      <c r="B987" s="53"/>
      <c r="C987" s="53"/>
    </row>
    <row r="988" spans="2:3" x14ac:dyDescent="0.25">
      <c r="B988" s="53"/>
      <c r="C988" s="53"/>
    </row>
    <row r="989" spans="2:3" x14ac:dyDescent="0.25">
      <c r="B989" s="53"/>
      <c r="C989" s="53"/>
    </row>
    <row r="990" spans="2:3" x14ac:dyDescent="0.25">
      <c r="B990" s="53"/>
      <c r="C990" s="53"/>
    </row>
    <row r="991" spans="2:3" x14ac:dyDescent="0.25">
      <c r="B991" s="53"/>
      <c r="C991" s="53"/>
    </row>
    <row r="992" spans="2:3" x14ac:dyDescent="0.25">
      <c r="B992" s="53"/>
      <c r="C992" s="53"/>
    </row>
    <row r="993" spans="2:3" x14ac:dyDescent="0.25">
      <c r="B993" s="53"/>
      <c r="C993" s="53"/>
    </row>
    <row r="994" spans="2:3" x14ac:dyDescent="0.25">
      <c r="B994" s="53"/>
      <c r="C994" s="53"/>
    </row>
    <row r="995" spans="2:3" x14ac:dyDescent="0.25">
      <c r="B995" s="53"/>
      <c r="C995" s="53"/>
    </row>
    <row r="996" spans="2:3" x14ac:dyDescent="0.25">
      <c r="B996" s="53"/>
      <c r="C996" s="53"/>
    </row>
    <row r="997" spans="2:3" x14ac:dyDescent="0.25">
      <c r="B997" s="53"/>
      <c r="C997" s="53"/>
    </row>
    <row r="998" spans="2:3" x14ac:dyDescent="0.25">
      <c r="B998" s="53"/>
      <c r="C998" s="53"/>
    </row>
    <row r="999" spans="2:3" x14ac:dyDescent="0.25">
      <c r="B999" s="53"/>
      <c r="C999" s="53"/>
    </row>
    <row r="1000" spans="2:3" x14ac:dyDescent="0.25">
      <c r="B1000" s="53"/>
      <c r="C1000" s="53"/>
    </row>
    <row r="1001" spans="2:3" x14ac:dyDescent="0.25">
      <c r="B1001" s="53"/>
      <c r="C1001" s="53"/>
    </row>
    <row r="1002" spans="2:3" x14ac:dyDescent="0.25">
      <c r="B1002" s="53"/>
      <c r="C1002" s="53"/>
    </row>
    <row r="1003" spans="2:3" x14ac:dyDescent="0.25">
      <c r="B1003" s="53"/>
      <c r="C1003" s="53"/>
    </row>
    <row r="1004" spans="2:3" x14ac:dyDescent="0.25">
      <c r="B1004" s="53"/>
      <c r="C1004" s="53"/>
    </row>
    <row r="1005" spans="2:3" x14ac:dyDescent="0.25">
      <c r="B1005" s="53"/>
      <c r="C1005" s="53"/>
    </row>
    <row r="1006" spans="2:3" x14ac:dyDescent="0.25">
      <c r="B1006" s="53"/>
      <c r="C1006" s="53"/>
    </row>
    <row r="1007" spans="2:3" x14ac:dyDescent="0.25">
      <c r="B1007" s="53"/>
      <c r="C1007" s="53"/>
    </row>
    <row r="1008" spans="2:3" x14ac:dyDescent="0.25">
      <c r="B1008" s="53"/>
      <c r="C1008" s="53"/>
    </row>
    <row r="1009" spans="2:3" x14ac:dyDescent="0.25">
      <c r="B1009" s="53"/>
      <c r="C1009" s="53"/>
    </row>
    <row r="1010" spans="2:3" x14ac:dyDescent="0.25">
      <c r="B1010" s="53"/>
      <c r="C1010" s="53"/>
    </row>
    <row r="1011" spans="2:3" x14ac:dyDescent="0.25">
      <c r="B1011" s="53"/>
      <c r="C1011" s="53"/>
    </row>
    <row r="1012" spans="2:3" x14ac:dyDescent="0.25">
      <c r="B1012" s="53"/>
      <c r="C1012" s="53"/>
    </row>
    <row r="1013" spans="2:3" x14ac:dyDescent="0.25">
      <c r="B1013" s="53"/>
      <c r="C1013" s="53"/>
    </row>
    <row r="1014" spans="2:3" x14ac:dyDescent="0.25">
      <c r="B1014" s="53"/>
      <c r="C1014" s="53"/>
    </row>
    <row r="1015" spans="2:3" x14ac:dyDescent="0.25">
      <c r="B1015" s="53"/>
      <c r="C1015" s="53"/>
    </row>
    <row r="1016" spans="2:3" x14ac:dyDescent="0.25">
      <c r="B1016" s="53"/>
      <c r="C1016" s="53"/>
    </row>
    <row r="1017" spans="2:3" x14ac:dyDescent="0.25">
      <c r="B1017" s="53"/>
      <c r="C1017" s="53"/>
    </row>
    <row r="1018" spans="2:3" x14ac:dyDescent="0.25">
      <c r="B1018" s="53"/>
      <c r="C1018" s="53"/>
    </row>
    <row r="1019" spans="2:3" x14ac:dyDescent="0.25">
      <c r="B1019" s="53"/>
      <c r="C1019" s="53"/>
    </row>
    <row r="1020" spans="2:3" x14ac:dyDescent="0.25">
      <c r="B1020" s="53"/>
      <c r="C1020" s="53"/>
    </row>
    <row r="1021" spans="2:3" x14ac:dyDescent="0.25">
      <c r="B1021" s="53"/>
      <c r="C1021" s="53"/>
    </row>
    <row r="1022" spans="2:3" x14ac:dyDescent="0.25">
      <c r="B1022" s="53"/>
      <c r="C1022" s="53"/>
    </row>
    <row r="1023" spans="2:3" x14ac:dyDescent="0.25">
      <c r="B1023" s="53"/>
      <c r="C1023" s="53"/>
    </row>
    <row r="1024" spans="2:3" x14ac:dyDescent="0.25">
      <c r="B1024" s="53"/>
      <c r="C1024" s="53"/>
    </row>
    <row r="1025" spans="2:3" x14ac:dyDescent="0.25">
      <c r="B1025" s="53"/>
      <c r="C1025" s="53"/>
    </row>
    <row r="1026" spans="2:3" x14ac:dyDescent="0.25">
      <c r="B1026" s="53"/>
      <c r="C1026" s="53"/>
    </row>
    <row r="1027" spans="2:3" x14ac:dyDescent="0.25">
      <c r="B1027" s="53"/>
      <c r="C1027" s="53"/>
    </row>
    <row r="1028" spans="2:3" x14ac:dyDescent="0.25">
      <c r="B1028" s="53"/>
      <c r="C1028" s="53"/>
    </row>
    <row r="1029" spans="2:3" x14ac:dyDescent="0.25">
      <c r="B1029" s="53"/>
      <c r="C1029" s="53"/>
    </row>
    <row r="1030" spans="2:3" x14ac:dyDescent="0.25">
      <c r="B1030" s="53"/>
      <c r="C1030" s="53"/>
    </row>
    <row r="1031" spans="2:3" x14ac:dyDescent="0.25">
      <c r="B1031" s="53"/>
      <c r="C1031" s="53"/>
    </row>
    <row r="1032" spans="2:3" x14ac:dyDescent="0.25">
      <c r="B1032" s="53"/>
      <c r="C1032" s="53"/>
    </row>
    <row r="1033" spans="2:3" x14ac:dyDescent="0.25">
      <c r="B1033" s="53"/>
      <c r="C1033" s="53"/>
    </row>
    <row r="1034" spans="2:3" x14ac:dyDescent="0.25">
      <c r="B1034" s="53"/>
      <c r="C1034" s="53"/>
    </row>
    <row r="1035" spans="2:3" x14ac:dyDescent="0.25">
      <c r="B1035" s="53"/>
      <c r="C1035" s="53"/>
    </row>
    <row r="1036" spans="2:3" x14ac:dyDescent="0.25">
      <c r="B1036" s="53"/>
      <c r="C1036" s="53"/>
    </row>
    <row r="1037" spans="2:3" x14ac:dyDescent="0.25">
      <c r="B1037" s="53"/>
      <c r="C1037" s="53"/>
    </row>
    <row r="1038" spans="2:3" x14ac:dyDescent="0.25">
      <c r="B1038" s="53"/>
      <c r="C1038" s="53"/>
    </row>
    <row r="1039" spans="2:3" x14ac:dyDescent="0.25">
      <c r="B1039" s="53"/>
      <c r="C1039" s="53"/>
    </row>
    <row r="1040" spans="2:3" x14ac:dyDescent="0.25">
      <c r="B1040" s="53"/>
      <c r="C1040" s="53"/>
    </row>
    <row r="1041" spans="2:3" x14ac:dyDescent="0.25">
      <c r="B1041" s="53"/>
      <c r="C1041" s="53"/>
    </row>
    <row r="1042" spans="2:3" x14ac:dyDescent="0.25">
      <c r="B1042" s="53"/>
      <c r="C1042" s="53"/>
    </row>
    <row r="1043" spans="2:3" x14ac:dyDescent="0.25">
      <c r="B1043" s="53"/>
      <c r="C1043" s="53"/>
    </row>
    <row r="1044" spans="2:3" x14ac:dyDescent="0.25">
      <c r="B1044" s="53"/>
      <c r="C1044" s="53"/>
    </row>
    <row r="1045" spans="2:3" x14ac:dyDescent="0.25">
      <c r="B1045" s="53"/>
      <c r="C1045" s="53"/>
    </row>
    <row r="1046" spans="2:3" x14ac:dyDescent="0.25">
      <c r="B1046" s="53"/>
      <c r="C1046" s="53"/>
    </row>
    <row r="1047" spans="2:3" x14ac:dyDescent="0.25">
      <c r="B1047" s="53"/>
      <c r="C1047" s="53"/>
    </row>
    <row r="1048" spans="2:3" x14ac:dyDescent="0.25">
      <c r="B1048" s="53"/>
      <c r="C1048" s="53"/>
    </row>
    <row r="1049" spans="2:3" x14ac:dyDescent="0.25">
      <c r="B1049" s="53"/>
      <c r="C1049" s="53"/>
    </row>
    <row r="1050" spans="2:3" x14ac:dyDescent="0.25">
      <c r="B1050" s="53"/>
      <c r="C1050" s="53"/>
    </row>
    <row r="1051" spans="2:3" x14ac:dyDescent="0.25">
      <c r="B1051" s="53"/>
      <c r="C1051" s="53"/>
    </row>
    <row r="1052" spans="2:3" x14ac:dyDescent="0.25">
      <c r="B1052" s="53"/>
      <c r="C1052" s="53"/>
    </row>
    <row r="1053" spans="2:3" x14ac:dyDescent="0.25">
      <c r="B1053" s="53"/>
      <c r="C1053" s="53"/>
    </row>
    <row r="1054" spans="2:3" x14ac:dyDescent="0.25">
      <c r="B1054" s="53"/>
      <c r="C1054" s="53"/>
    </row>
    <row r="1055" spans="2:3" x14ac:dyDescent="0.25">
      <c r="B1055" s="53"/>
      <c r="C1055" s="53"/>
    </row>
    <row r="1056" spans="2:3" x14ac:dyDescent="0.25">
      <c r="B1056" s="53"/>
      <c r="C1056" s="53"/>
    </row>
    <row r="1057" spans="2:3" x14ac:dyDescent="0.25">
      <c r="B1057" s="53"/>
      <c r="C1057" s="53"/>
    </row>
    <row r="1058" spans="2:3" x14ac:dyDescent="0.25">
      <c r="B1058" s="53"/>
      <c r="C1058" s="53"/>
    </row>
    <row r="1059" spans="2:3" x14ac:dyDescent="0.25">
      <c r="B1059" s="53"/>
      <c r="C1059" s="53"/>
    </row>
    <row r="1060" spans="2:3" x14ac:dyDescent="0.25">
      <c r="B1060" s="53"/>
      <c r="C1060" s="53"/>
    </row>
    <row r="1061" spans="2:3" x14ac:dyDescent="0.25">
      <c r="B1061" s="53"/>
      <c r="C1061" s="53"/>
    </row>
    <row r="1062" spans="2:3" x14ac:dyDescent="0.25">
      <c r="B1062" s="53"/>
      <c r="C1062" s="53"/>
    </row>
    <row r="1063" spans="2:3" x14ac:dyDescent="0.25">
      <c r="B1063" s="53"/>
      <c r="C1063" s="53"/>
    </row>
    <row r="1064" spans="2:3" x14ac:dyDescent="0.25">
      <c r="B1064" s="53"/>
      <c r="C1064" s="53"/>
    </row>
    <row r="1065" spans="2:3" x14ac:dyDescent="0.25">
      <c r="B1065" s="53"/>
      <c r="C1065" s="53"/>
    </row>
    <row r="1066" spans="2:3" x14ac:dyDescent="0.25">
      <c r="B1066" s="53"/>
      <c r="C1066" s="53"/>
    </row>
    <row r="1067" spans="2:3" x14ac:dyDescent="0.25">
      <c r="B1067" s="53"/>
      <c r="C1067" s="53"/>
    </row>
    <row r="1068" spans="2:3" x14ac:dyDescent="0.25">
      <c r="B1068" s="53"/>
      <c r="C1068" s="53"/>
    </row>
    <row r="1069" spans="2:3" x14ac:dyDescent="0.25">
      <c r="B1069" s="53"/>
      <c r="C1069" s="53"/>
    </row>
    <row r="1070" spans="2:3" x14ac:dyDescent="0.25">
      <c r="B1070" s="53"/>
      <c r="C1070" s="53"/>
    </row>
    <row r="1071" spans="2:3" x14ac:dyDescent="0.25">
      <c r="B1071" s="53"/>
      <c r="C1071" s="53"/>
    </row>
    <row r="1072" spans="2:3" x14ac:dyDescent="0.25">
      <c r="B1072" s="53"/>
      <c r="C1072" s="53"/>
    </row>
    <row r="1073" spans="2:3" x14ac:dyDescent="0.25">
      <c r="B1073" s="53"/>
      <c r="C1073" s="53"/>
    </row>
    <row r="1074" spans="2:3" x14ac:dyDescent="0.25">
      <c r="B1074" s="53"/>
      <c r="C1074" s="53"/>
    </row>
    <row r="1075" spans="2:3" x14ac:dyDescent="0.25">
      <c r="B1075" s="53"/>
      <c r="C1075" s="53"/>
    </row>
    <row r="1076" spans="2:3" x14ac:dyDescent="0.25">
      <c r="B1076" s="53"/>
      <c r="C1076" s="53"/>
    </row>
    <row r="1077" spans="2:3" x14ac:dyDescent="0.25">
      <c r="B1077" s="53"/>
      <c r="C1077" s="53"/>
    </row>
    <row r="1078" spans="2:3" x14ac:dyDescent="0.25">
      <c r="B1078" s="53"/>
      <c r="C1078" s="53"/>
    </row>
    <row r="1079" spans="2:3" x14ac:dyDescent="0.25">
      <c r="B1079" s="53"/>
      <c r="C1079" s="53"/>
    </row>
    <row r="1080" spans="2:3" x14ac:dyDescent="0.25">
      <c r="B1080" s="53"/>
      <c r="C1080" s="53"/>
    </row>
    <row r="1081" spans="2:3" x14ac:dyDescent="0.25">
      <c r="B1081" s="53"/>
      <c r="C1081" s="53"/>
    </row>
    <row r="1082" spans="2:3" x14ac:dyDescent="0.25">
      <c r="B1082" s="53"/>
      <c r="C1082" s="53"/>
    </row>
    <row r="1083" spans="2:3" x14ac:dyDescent="0.25">
      <c r="B1083" s="53"/>
      <c r="C1083" s="53"/>
    </row>
    <row r="1084" spans="2:3" x14ac:dyDescent="0.25">
      <c r="B1084" s="53"/>
      <c r="C1084" s="53"/>
    </row>
    <row r="1085" spans="2:3" x14ac:dyDescent="0.25">
      <c r="B1085" s="53"/>
      <c r="C1085" s="53"/>
    </row>
    <row r="1086" spans="2:3" x14ac:dyDescent="0.25">
      <c r="B1086" s="53"/>
      <c r="C1086" s="53"/>
    </row>
    <row r="1087" spans="2:3" x14ac:dyDescent="0.25">
      <c r="B1087" s="53"/>
      <c r="C1087" s="53"/>
    </row>
    <row r="1088" spans="2:3" x14ac:dyDescent="0.25">
      <c r="B1088" s="53"/>
      <c r="C1088" s="53"/>
    </row>
    <row r="1089" spans="2:3" x14ac:dyDescent="0.25">
      <c r="B1089" s="53"/>
      <c r="C1089" s="53"/>
    </row>
    <row r="1090" spans="2:3" x14ac:dyDescent="0.25">
      <c r="B1090" s="53"/>
      <c r="C1090" s="53"/>
    </row>
    <row r="1091" spans="2:3" x14ac:dyDescent="0.25">
      <c r="B1091" s="53"/>
      <c r="C1091" s="53"/>
    </row>
    <row r="1092" spans="2:3" x14ac:dyDescent="0.25">
      <c r="B1092" s="53"/>
      <c r="C1092" s="53"/>
    </row>
    <row r="1093" spans="2:3" x14ac:dyDescent="0.25">
      <c r="B1093" s="53"/>
      <c r="C1093" s="53"/>
    </row>
    <row r="1094" spans="2:3" x14ac:dyDescent="0.25">
      <c r="B1094" s="53"/>
      <c r="C1094" s="53"/>
    </row>
    <row r="1095" spans="2:3" x14ac:dyDescent="0.25">
      <c r="B1095" s="53"/>
      <c r="C1095" s="53"/>
    </row>
    <row r="1096" spans="2:3" x14ac:dyDescent="0.25">
      <c r="B1096" s="53"/>
      <c r="C1096" s="53"/>
    </row>
    <row r="1097" spans="2:3" x14ac:dyDescent="0.25">
      <c r="B1097" s="53"/>
      <c r="C1097" s="53"/>
    </row>
    <row r="1098" spans="2:3" x14ac:dyDescent="0.25">
      <c r="B1098" s="53"/>
      <c r="C1098" s="53"/>
    </row>
    <row r="1099" spans="2:3" x14ac:dyDescent="0.25">
      <c r="B1099" s="53"/>
      <c r="C1099" s="53"/>
    </row>
    <row r="1100" spans="2:3" x14ac:dyDescent="0.25">
      <c r="B1100" s="53"/>
      <c r="C1100" s="53"/>
    </row>
    <row r="1101" spans="2:3" x14ac:dyDescent="0.25">
      <c r="B1101" s="53"/>
      <c r="C1101" s="53"/>
    </row>
    <row r="1102" spans="2:3" x14ac:dyDescent="0.25">
      <c r="B1102" s="53"/>
      <c r="C1102" s="53"/>
    </row>
    <row r="1103" spans="2:3" x14ac:dyDescent="0.25">
      <c r="B1103" s="53"/>
      <c r="C1103" s="53"/>
    </row>
    <row r="1104" spans="2:3" x14ac:dyDescent="0.25">
      <c r="B1104" s="53"/>
      <c r="C1104" s="53"/>
    </row>
    <row r="1105" spans="2:3" x14ac:dyDescent="0.25">
      <c r="B1105" s="53"/>
      <c r="C1105" s="53"/>
    </row>
    <row r="1106" spans="2:3" x14ac:dyDescent="0.25">
      <c r="B1106" s="53"/>
      <c r="C1106" s="53"/>
    </row>
    <row r="1107" spans="2:3" x14ac:dyDescent="0.25">
      <c r="B1107" s="53"/>
      <c r="C1107" s="53"/>
    </row>
    <row r="1108" spans="2:3" x14ac:dyDescent="0.25">
      <c r="B1108" s="53"/>
      <c r="C1108" s="53"/>
    </row>
    <row r="1109" spans="2:3" x14ac:dyDescent="0.25">
      <c r="B1109" s="53"/>
      <c r="C1109" s="53"/>
    </row>
    <row r="1110" spans="2:3" x14ac:dyDescent="0.25">
      <c r="B1110" s="53"/>
      <c r="C1110" s="53"/>
    </row>
    <row r="1111" spans="2:3" x14ac:dyDescent="0.25">
      <c r="B1111" s="53"/>
      <c r="C1111" s="53"/>
    </row>
    <row r="1112" spans="2:3" x14ac:dyDescent="0.25">
      <c r="B1112" s="53"/>
      <c r="C1112" s="53"/>
    </row>
    <row r="1113" spans="2:3" x14ac:dyDescent="0.25">
      <c r="B1113" s="53"/>
      <c r="C1113" s="53"/>
    </row>
    <row r="1114" spans="2:3" x14ac:dyDescent="0.25">
      <c r="B1114" s="53"/>
      <c r="C1114" s="53"/>
    </row>
    <row r="1115" spans="2:3" x14ac:dyDescent="0.25">
      <c r="B1115" s="53"/>
      <c r="C1115" s="53"/>
    </row>
    <row r="1116" spans="2:3" x14ac:dyDescent="0.25">
      <c r="B1116" s="53"/>
      <c r="C1116" s="53"/>
    </row>
    <row r="1117" spans="2:3" x14ac:dyDescent="0.25">
      <c r="B1117" s="53"/>
      <c r="C1117" s="53"/>
    </row>
    <row r="1118" spans="2:3" x14ac:dyDescent="0.25">
      <c r="B1118" s="53"/>
      <c r="C1118" s="53"/>
    </row>
    <row r="1119" spans="2:3" x14ac:dyDescent="0.25">
      <c r="B1119" s="53"/>
      <c r="C1119" s="53"/>
    </row>
    <row r="1120" spans="2:3" x14ac:dyDescent="0.25">
      <c r="B1120" s="53"/>
      <c r="C1120" s="53"/>
    </row>
    <row r="1121" spans="2:3" x14ac:dyDescent="0.25">
      <c r="B1121" s="53"/>
      <c r="C1121" s="53"/>
    </row>
    <row r="1122" spans="2:3" x14ac:dyDescent="0.25">
      <c r="B1122" s="53"/>
      <c r="C1122" s="53"/>
    </row>
    <row r="1123" spans="2:3" x14ac:dyDescent="0.25">
      <c r="B1123" s="53"/>
      <c r="C1123" s="53"/>
    </row>
    <row r="1124" spans="2:3" x14ac:dyDescent="0.25">
      <c r="B1124" s="53"/>
      <c r="C1124" s="53"/>
    </row>
    <row r="1125" spans="2:3" x14ac:dyDescent="0.25">
      <c r="B1125" s="53"/>
      <c r="C1125" s="53"/>
    </row>
    <row r="1126" spans="2:3" x14ac:dyDescent="0.25">
      <c r="B1126" s="53"/>
      <c r="C1126" s="53"/>
    </row>
    <row r="1127" spans="2:3" x14ac:dyDescent="0.25">
      <c r="B1127" s="53"/>
      <c r="C1127" s="53"/>
    </row>
    <row r="1128" spans="2:3" x14ac:dyDescent="0.25">
      <c r="B1128" s="53"/>
      <c r="C1128" s="53"/>
    </row>
    <row r="1129" spans="2:3" x14ac:dyDescent="0.25">
      <c r="B1129" s="53"/>
      <c r="C1129" s="53"/>
    </row>
    <row r="1130" spans="2:3" x14ac:dyDescent="0.25">
      <c r="B1130" s="53"/>
      <c r="C1130" s="53"/>
    </row>
    <row r="1131" spans="2:3" x14ac:dyDescent="0.25">
      <c r="B1131" s="53"/>
      <c r="C1131" s="53"/>
    </row>
    <row r="1132" spans="2:3" x14ac:dyDescent="0.25">
      <c r="B1132" s="53"/>
      <c r="C1132" s="53"/>
    </row>
    <row r="1133" spans="2:3" x14ac:dyDescent="0.25">
      <c r="B1133" s="53"/>
      <c r="C1133" s="53"/>
    </row>
    <row r="1134" spans="2:3" x14ac:dyDescent="0.25">
      <c r="B1134" s="53"/>
      <c r="C1134" s="53"/>
    </row>
    <row r="1135" spans="2:3" x14ac:dyDescent="0.25">
      <c r="B1135" s="53"/>
      <c r="C1135" s="53"/>
    </row>
    <row r="1136" spans="2:3" x14ac:dyDescent="0.25">
      <c r="B1136" s="53"/>
      <c r="C1136" s="53"/>
    </row>
    <row r="1137" spans="2:3" x14ac:dyDescent="0.25">
      <c r="B1137" s="53"/>
      <c r="C1137" s="53"/>
    </row>
    <row r="1138" spans="2:3" x14ac:dyDescent="0.25">
      <c r="B1138" s="53"/>
      <c r="C1138" s="53"/>
    </row>
    <row r="1139" spans="2:3" x14ac:dyDescent="0.25">
      <c r="B1139" s="53"/>
      <c r="C1139" s="53"/>
    </row>
    <row r="1140" spans="2:3" x14ac:dyDescent="0.25">
      <c r="B1140" s="53"/>
      <c r="C1140" s="53"/>
    </row>
    <row r="1141" spans="2:3" x14ac:dyDescent="0.25">
      <c r="B1141" s="53"/>
      <c r="C1141" s="53"/>
    </row>
    <row r="1142" spans="2:3" x14ac:dyDescent="0.25">
      <c r="B1142" s="53"/>
      <c r="C1142" s="53"/>
    </row>
    <row r="1143" spans="2:3" x14ac:dyDescent="0.25">
      <c r="B1143" s="53"/>
      <c r="C1143" s="53"/>
    </row>
    <row r="1144" spans="2:3" x14ac:dyDescent="0.25">
      <c r="B1144" s="53"/>
      <c r="C1144" s="53"/>
    </row>
    <row r="1145" spans="2:3" x14ac:dyDescent="0.25">
      <c r="B1145" s="53"/>
      <c r="C1145" s="53"/>
    </row>
    <row r="1146" spans="2:3" x14ac:dyDescent="0.25">
      <c r="B1146" s="53"/>
      <c r="C1146" s="53"/>
    </row>
    <row r="1147" spans="2:3" x14ac:dyDescent="0.25">
      <c r="B1147" s="53"/>
      <c r="C1147" s="53"/>
    </row>
    <row r="1148" spans="2:3" x14ac:dyDescent="0.25">
      <c r="B1148" s="53"/>
      <c r="C1148" s="53"/>
    </row>
    <row r="1149" spans="2:3" x14ac:dyDescent="0.25">
      <c r="B1149" s="53"/>
      <c r="C1149" s="53"/>
    </row>
    <row r="1150" spans="2:3" x14ac:dyDescent="0.25">
      <c r="B1150" s="53"/>
      <c r="C1150" s="53"/>
    </row>
    <row r="1151" spans="2:3" x14ac:dyDescent="0.25">
      <c r="B1151" s="53"/>
      <c r="C1151" s="53"/>
    </row>
    <row r="1152" spans="2:3" x14ac:dyDescent="0.25">
      <c r="B1152" s="53"/>
      <c r="C1152" s="53"/>
    </row>
    <row r="1153" spans="2:3" x14ac:dyDescent="0.25">
      <c r="B1153" s="53"/>
      <c r="C1153" s="53"/>
    </row>
    <row r="1154" spans="2:3" x14ac:dyDescent="0.25">
      <c r="B1154" s="53"/>
      <c r="C1154" s="53"/>
    </row>
    <row r="1155" spans="2:3" x14ac:dyDescent="0.25">
      <c r="B1155" s="53"/>
      <c r="C1155" s="53"/>
    </row>
    <row r="1156" spans="2:3" x14ac:dyDescent="0.25">
      <c r="B1156" s="53"/>
      <c r="C1156" s="53"/>
    </row>
    <row r="1157" spans="2:3" x14ac:dyDescent="0.25">
      <c r="B1157" s="53"/>
      <c r="C1157" s="53"/>
    </row>
    <row r="1158" spans="2:3" x14ac:dyDescent="0.25">
      <c r="B1158" s="53"/>
      <c r="C1158" s="53"/>
    </row>
    <row r="1159" spans="2:3" x14ac:dyDescent="0.25">
      <c r="B1159" s="53"/>
      <c r="C1159" s="53"/>
    </row>
    <row r="1160" spans="2:3" x14ac:dyDescent="0.25">
      <c r="B1160" s="53"/>
      <c r="C1160" s="53"/>
    </row>
    <row r="1161" spans="2:3" x14ac:dyDescent="0.25">
      <c r="B1161" s="53"/>
      <c r="C1161" s="53"/>
    </row>
    <row r="1162" spans="2:3" x14ac:dyDescent="0.25">
      <c r="B1162" s="53"/>
      <c r="C1162" s="53"/>
    </row>
    <row r="1163" spans="2:3" x14ac:dyDescent="0.25">
      <c r="B1163" s="53"/>
      <c r="C1163" s="53"/>
    </row>
    <row r="1164" spans="2:3" x14ac:dyDescent="0.25">
      <c r="B1164" s="53"/>
      <c r="C1164" s="53"/>
    </row>
    <row r="1165" spans="2:3" x14ac:dyDescent="0.25">
      <c r="B1165" s="53"/>
      <c r="C1165" s="53"/>
    </row>
    <row r="1166" spans="2:3" x14ac:dyDescent="0.25">
      <c r="B1166" s="53"/>
      <c r="C1166" s="53"/>
    </row>
    <row r="1167" spans="2:3" x14ac:dyDescent="0.25">
      <c r="B1167" s="53"/>
      <c r="C1167" s="53"/>
    </row>
    <row r="1168" spans="2:3" x14ac:dyDescent="0.25">
      <c r="B1168" s="53"/>
      <c r="C1168" s="53"/>
    </row>
    <row r="1169" spans="2:3" x14ac:dyDescent="0.25">
      <c r="B1169" s="53"/>
      <c r="C1169" s="53"/>
    </row>
    <row r="1170" spans="2:3" x14ac:dyDescent="0.25">
      <c r="B1170" s="53"/>
      <c r="C1170" s="53"/>
    </row>
    <row r="1171" spans="2:3" x14ac:dyDescent="0.25">
      <c r="B1171" s="53"/>
      <c r="C1171" s="53"/>
    </row>
    <row r="1172" spans="2:3" x14ac:dyDescent="0.25">
      <c r="B1172" s="53"/>
      <c r="C1172" s="53"/>
    </row>
    <row r="1173" spans="2:3" x14ac:dyDescent="0.25">
      <c r="B1173" s="53"/>
      <c r="C1173" s="53"/>
    </row>
    <row r="1174" spans="2:3" x14ac:dyDescent="0.25">
      <c r="B1174" s="53"/>
      <c r="C1174" s="53"/>
    </row>
    <row r="1175" spans="2:3" x14ac:dyDescent="0.25">
      <c r="B1175" s="53"/>
      <c r="C1175" s="53"/>
    </row>
    <row r="1176" spans="2:3" x14ac:dyDescent="0.25">
      <c r="B1176" s="53"/>
      <c r="C1176" s="53"/>
    </row>
    <row r="1177" spans="2:3" x14ac:dyDescent="0.25">
      <c r="B1177" s="53"/>
      <c r="C1177" s="53"/>
    </row>
    <row r="1178" spans="2:3" x14ac:dyDescent="0.25">
      <c r="B1178" s="53"/>
      <c r="C1178" s="53"/>
    </row>
    <row r="1179" spans="2:3" x14ac:dyDescent="0.25">
      <c r="B1179" s="53"/>
      <c r="C1179" s="53"/>
    </row>
    <row r="1180" spans="2:3" x14ac:dyDescent="0.25">
      <c r="B1180" s="53"/>
      <c r="C1180" s="53"/>
    </row>
    <row r="1181" spans="2:3" x14ac:dyDescent="0.25">
      <c r="B1181" s="53"/>
      <c r="C1181" s="53"/>
    </row>
    <row r="1182" spans="2:3" x14ac:dyDescent="0.25">
      <c r="B1182" s="53"/>
      <c r="C1182" s="53"/>
    </row>
    <row r="1183" spans="2:3" x14ac:dyDescent="0.25">
      <c r="B1183" s="53"/>
      <c r="C1183" s="53"/>
    </row>
    <row r="1184" spans="2:3" x14ac:dyDescent="0.25">
      <c r="B1184" s="53"/>
      <c r="C1184" s="53"/>
    </row>
    <row r="1185" spans="2:3" x14ac:dyDescent="0.25">
      <c r="B1185" s="53"/>
      <c r="C1185" s="53"/>
    </row>
    <row r="1186" spans="2:3" x14ac:dyDescent="0.25">
      <c r="B1186" s="53"/>
      <c r="C1186" s="53"/>
    </row>
    <row r="1187" spans="2:3" x14ac:dyDescent="0.25">
      <c r="B1187" s="53"/>
      <c r="C1187" s="53"/>
    </row>
    <row r="1188" spans="2:3" x14ac:dyDescent="0.25">
      <c r="B1188" s="53"/>
      <c r="C1188" s="53"/>
    </row>
    <row r="1189" spans="2:3" x14ac:dyDescent="0.25">
      <c r="B1189" s="53"/>
      <c r="C1189" s="53"/>
    </row>
    <row r="1190" spans="2:3" x14ac:dyDescent="0.25">
      <c r="B1190" s="53"/>
      <c r="C1190" s="53"/>
    </row>
    <row r="1191" spans="2:3" x14ac:dyDescent="0.25">
      <c r="B1191" s="53"/>
      <c r="C1191" s="53"/>
    </row>
    <row r="1192" spans="2:3" x14ac:dyDescent="0.25">
      <c r="B1192" s="53"/>
      <c r="C1192" s="53"/>
    </row>
    <row r="1193" spans="2:3" x14ac:dyDescent="0.25">
      <c r="B1193" s="53"/>
      <c r="C1193" s="53"/>
    </row>
    <row r="1194" spans="2:3" x14ac:dyDescent="0.25">
      <c r="B1194" s="53"/>
      <c r="C1194" s="53"/>
    </row>
    <row r="1195" spans="2:3" x14ac:dyDescent="0.25">
      <c r="B1195" s="53"/>
      <c r="C1195" s="53"/>
    </row>
    <row r="1196" spans="2:3" x14ac:dyDescent="0.25">
      <c r="B1196" s="53"/>
      <c r="C1196" s="53"/>
    </row>
    <row r="1197" spans="2:3" x14ac:dyDescent="0.25">
      <c r="B1197" s="53"/>
      <c r="C1197" s="53"/>
    </row>
    <row r="1198" spans="2:3" x14ac:dyDescent="0.25">
      <c r="B1198" s="53"/>
      <c r="C1198" s="53"/>
    </row>
    <row r="1199" spans="2:3" x14ac:dyDescent="0.25">
      <c r="B1199" s="53"/>
      <c r="C1199" s="53"/>
    </row>
    <row r="1200" spans="2:3" x14ac:dyDescent="0.25">
      <c r="B1200" s="53"/>
      <c r="C1200" s="53"/>
    </row>
    <row r="1201" spans="2:3" x14ac:dyDescent="0.25">
      <c r="B1201" s="53"/>
      <c r="C1201" s="53"/>
    </row>
    <row r="1202" spans="2:3" x14ac:dyDescent="0.25">
      <c r="B1202" s="53"/>
      <c r="C1202" s="53"/>
    </row>
    <row r="1203" spans="2:3" x14ac:dyDescent="0.25">
      <c r="B1203" s="53"/>
      <c r="C1203" s="53"/>
    </row>
    <row r="1204" spans="2:3" x14ac:dyDescent="0.25">
      <c r="B1204" s="53"/>
      <c r="C1204" s="53"/>
    </row>
    <row r="1205" spans="2:3" x14ac:dyDescent="0.25">
      <c r="B1205" s="53"/>
      <c r="C1205" s="53"/>
    </row>
    <row r="1206" spans="2:3" x14ac:dyDescent="0.25">
      <c r="B1206" s="53"/>
      <c r="C1206" s="53"/>
    </row>
    <row r="1207" spans="2:3" x14ac:dyDescent="0.25">
      <c r="B1207" s="53"/>
      <c r="C1207" s="53"/>
    </row>
    <row r="1208" spans="2:3" x14ac:dyDescent="0.25">
      <c r="B1208" s="53"/>
      <c r="C1208" s="53"/>
    </row>
    <row r="1209" spans="2:3" x14ac:dyDescent="0.25">
      <c r="B1209" s="53"/>
      <c r="C1209" s="53"/>
    </row>
    <row r="1210" spans="2:3" x14ac:dyDescent="0.25">
      <c r="B1210" s="53"/>
      <c r="C1210" s="53"/>
    </row>
    <row r="1211" spans="2:3" x14ac:dyDescent="0.25">
      <c r="B1211" s="53"/>
      <c r="C1211" s="53"/>
    </row>
    <row r="1212" spans="2:3" x14ac:dyDescent="0.25">
      <c r="B1212" s="53"/>
      <c r="C1212" s="53"/>
    </row>
    <row r="1213" spans="2:3" x14ac:dyDescent="0.25">
      <c r="B1213" s="53"/>
      <c r="C1213" s="53"/>
    </row>
    <row r="1214" spans="2:3" x14ac:dyDescent="0.25">
      <c r="B1214" s="53"/>
      <c r="C1214" s="53"/>
    </row>
    <row r="1215" spans="2:3" x14ac:dyDescent="0.25">
      <c r="B1215" s="53"/>
      <c r="C1215" s="53"/>
    </row>
    <row r="1216" spans="2:3" x14ac:dyDescent="0.25">
      <c r="B1216" s="53"/>
      <c r="C1216" s="53"/>
    </row>
    <row r="1217" spans="2:3" x14ac:dyDescent="0.25">
      <c r="B1217" s="53"/>
      <c r="C1217" s="53"/>
    </row>
    <row r="1218" spans="2:3" x14ac:dyDescent="0.25">
      <c r="B1218" s="53"/>
      <c r="C1218" s="53"/>
    </row>
    <row r="1219" spans="2:3" x14ac:dyDescent="0.25">
      <c r="B1219" s="53"/>
      <c r="C1219" s="53"/>
    </row>
    <row r="1220" spans="2:3" x14ac:dyDescent="0.25">
      <c r="B1220" s="53"/>
      <c r="C1220" s="53"/>
    </row>
    <row r="1221" spans="2:3" x14ac:dyDescent="0.25">
      <c r="B1221" s="53"/>
      <c r="C1221" s="53"/>
    </row>
    <row r="1222" spans="2:3" x14ac:dyDescent="0.25">
      <c r="B1222" s="53"/>
      <c r="C1222" s="53"/>
    </row>
    <row r="1223" spans="2:3" x14ac:dyDescent="0.25">
      <c r="B1223" s="53"/>
      <c r="C1223" s="53"/>
    </row>
    <row r="1224" spans="2:3" x14ac:dyDescent="0.25">
      <c r="B1224" s="53"/>
      <c r="C1224" s="53"/>
    </row>
    <row r="1225" spans="2:3" x14ac:dyDescent="0.25">
      <c r="B1225" s="53"/>
      <c r="C1225" s="53"/>
    </row>
    <row r="1226" spans="2:3" x14ac:dyDescent="0.25">
      <c r="B1226" s="53"/>
      <c r="C1226" s="53"/>
    </row>
    <row r="1227" spans="2:3" x14ac:dyDescent="0.25">
      <c r="B1227" s="53"/>
      <c r="C1227" s="53"/>
    </row>
    <row r="1228" spans="2:3" x14ac:dyDescent="0.25">
      <c r="B1228" s="53"/>
      <c r="C1228" s="53"/>
    </row>
    <row r="1229" spans="2:3" x14ac:dyDescent="0.25">
      <c r="B1229" s="53"/>
      <c r="C1229" s="53"/>
    </row>
    <row r="1230" spans="2:3" x14ac:dyDescent="0.25">
      <c r="B1230" s="53"/>
      <c r="C1230" s="53"/>
    </row>
    <row r="1231" spans="2:3" x14ac:dyDescent="0.25">
      <c r="B1231" s="53"/>
      <c r="C1231" s="53"/>
    </row>
    <row r="1232" spans="2:3" x14ac:dyDescent="0.25">
      <c r="B1232" s="53"/>
      <c r="C1232" s="53"/>
    </row>
    <row r="1233" spans="2:3" x14ac:dyDescent="0.25">
      <c r="B1233" s="53"/>
      <c r="C1233" s="53"/>
    </row>
    <row r="1234" spans="2:3" x14ac:dyDescent="0.25">
      <c r="B1234" s="53"/>
      <c r="C1234" s="53"/>
    </row>
    <row r="1235" spans="2:3" x14ac:dyDescent="0.25">
      <c r="B1235" s="53"/>
      <c r="C1235" s="53"/>
    </row>
    <row r="1236" spans="2:3" x14ac:dyDescent="0.25">
      <c r="B1236" s="53"/>
      <c r="C1236" s="53"/>
    </row>
    <row r="1237" spans="2:3" x14ac:dyDescent="0.25">
      <c r="B1237" s="53"/>
      <c r="C1237" s="53"/>
    </row>
    <row r="1238" spans="2:3" x14ac:dyDescent="0.25">
      <c r="B1238" s="53"/>
      <c r="C1238" s="53"/>
    </row>
    <row r="1239" spans="2:3" x14ac:dyDescent="0.25">
      <c r="B1239" s="53"/>
      <c r="C1239" s="53"/>
    </row>
    <row r="1240" spans="2:3" x14ac:dyDescent="0.25">
      <c r="B1240" s="53"/>
      <c r="C1240" s="53"/>
    </row>
    <row r="1241" spans="2:3" x14ac:dyDescent="0.25">
      <c r="B1241" s="53"/>
      <c r="C1241" s="53"/>
    </row>
    <row r="1242" spans="2:3" x14ac:dyDescent="0.25">
      <c r="B1242" s="53"/>
      <c r="C1242" s="53"/>
    </row>
    <row r="1243" spans="2:3" x14ac:dyDescent="0.25">
      <c r="B1243" s="53"/>
      <c r="C1243" s="53"/>
    </row>
    <row r="1244" spans="2:3" x14ac:dyDescent="0.25">
      <c r="B1244" s="53"/>
      <c r="C1244" s="53"/>
    </row>
    <row r="1245" spans="2:3" x14ac:dyDescent="0.25">
      <c r="B1245" s="53"/>
      <c r="C1245" s="53"/>
    </row>
    <row r="1246" spans="2:3" x14ac:dyDescent="0.25">
      <c r="B1246" s="53"/>
      <c r="C1246" s="53"/>
    </row>
    <row r="1247" spans="2:3" x14ac:dyDescent="0.25">
      <c r="B1247" s="53"/>
      <c r="C1247" s="53"/>
    </row>
    <row r="1248" spans="2:3" x14ac:dyDescent="0.25">
      <c r="B1248" s="53"/>
      <c r="C1248" s="53"/>
    </row>
    <row r="1249" spans="2:3" x14ac:dyDescent="0.25">
      <c r="B1249" s="53"/>
      <c r="C1249" s="53"/>
    </row>
    <row r="1250" spans="2:3" x14ac:dyDescent="0.25">
      <c r="B1250" s="53"/>
      <c r="C1250" s="53"/>
    </row>
    <row r="1251" spans="2:3" x14ac:dyDescent="0.25">
      <c r="B1251" s="53"/>
      <c r="C1251" s="53"/>
    </row>
    <row r="1252" spans="2:3" x14ac:dyDescent="0.25">
      <c r="B1252" s="53"/>
      <c r="C1252" s="53"/>
    </row>
    <row r="1253" spans="2:3" x14ac:dyDescent="0.25">
      <c r="B1253" s="53"/>
      <c r="C1253" s="53"/>
    </row>
    <row r="1254" spans="2:3" x14ac:dyDescent="0.25">
      <c r="B1254" s="53"/>
      <c r="C1254" s="53"/>
    </row>
    <row r="1255" spans="2:3" x14ac:dyDescent="0.25">
      <c r="B1255" s="53"/>
      <c r="C1255" s="53"/>
    </row>
    <row r="1256" spans="2:3" x14ac:dyDescent="0.25">
      <c r="B1256" s="53"/>
      <c r="C1256" s="53"/>
    </row>
    <row r="1257" spans="2:3" x14ac:dyDescent="0.25">
      <c r="B1257" s="53"/>
      <c r="C1257" s="53"/>
    </row>
    <row r="1258" spans="2:3" x14ac:dyDescent="0.25">
      <c r="B1258" s="53"/>
      <c r="C1258" s="53"/>
    </row>
    <row r="1259" spans="2:3" x14ac:dyDescent="0.25">
      <c r="B1259" s="53"/>
      <c r="C1259" s="53"/>
    </row>
    <row r="1260" spans="2:3" x14ac:dyDescent="0.25">
      <c r="B1260" s="53"/>
      <c r="C1260" s="53"/>
    </row>
    <row r="1261" spans="2:3" x14ac:dyDescent="0.25">
      <c r="B1261" s="53"/>
      <c r="C1261" s="53"/>
    </row>
    <row r="1262" spans="2:3" x14ac:dyDescent="0.25">
      <c r="B1262" s="53"/>
      <c r="C1262" s="53"/>
    </row>
    <row r="1263" spans="2:3" x14ac:dyDescent="0.25">
      <c r="B1263" s="53"/>
      <c r="C1263" s="53"/>
    </row>
    <row r="1264" spans="2:3" x14ac:dyDescent="0.25">
      <c r="B1264" s="53"/>
      <c r="C1264" s="53"/>
    </row>
    <row r="1265" spans="2:3" x14ac:dyDescent="0.25">
      <c r="B1265" s="53"/>
      <c r="C1265" s="53"/>
    </row>
    <row r="1266" spans="2:3" x14ac:dyDescent="0.25">
      <c r="B1266" s="53"/>
      <c r="C1266" s="53"/>
    </row>
    <row r="1267" spans="2:3" x14ac:dyDescent="0.25">
      <c r="B1267" s="53"/>
      <c r="C1267" s="53"/>
    </row>
    <row r="1268" spans="2:3" x14ac:dyDescent="0.25">
      <c r="B1268" s="53"/>
      <c r="C1268" s="53"/>
    </row>
    <row r="1269" spans="2:3" x14ac:dyDescent="0.25">
      <c r="B1269" s="53"/>
      <c r="C1269" s="53"/>
    </row>
    <row r="1270" spans="2:3" x14ac:dyDescent="0.25">
      <c r="B1270" s="53"/>
      <c r="C1270" s="53"/>
    </row>
    <row r="1271" spans="2:3" x14ac:dyDescent="0.25">
      <c r="B1271" s="53"/>
      <c r="C1271" s="53"/>
    </row>
    <row r="1272" spans="2:3" x14ac:dyDescent="0.25">
      <c r="B1272" s="53"/>
      <c r="C1272" s="53"/>
    </row>
    <row r="1273" spans="2:3" x14ac:dyDescent="0.25">
      <c r="B1273" s="53"/>
      <c r="C1273" s="53"/>
    </row>
    <row r="1274" spans="2:3" x14ac:dyDescent="0.25">
      <c r="B1274" s="53"/>
      <c r="C1274" s="53"/>
    </row>
    <row r="1275" spans="2:3" x14ac:dyDescent="0.25">
      <c r="B1275" s="53"/>
      <c r="C1275" s="53"/>
    </row>
    <row r="1276" spans="2:3" x14ac:dyDescent="0.25">
      <c r="B1276" s="53"/>
      <c r="C1276" s="53"/>
    </row>
    <row r="1277" spans="2:3" x14ac:dyDescent="0.25">
      <c r="B1277" s="53"/>
      <c r="C1277" s="53"/>
    </row>
    <row r="1278" spans="2:3" x14ac:dyDescent="0.25">
      <c r="B1278" s="53"/>
      <c r="C1278" s="53"/>
    </row>
    <row r="1279" spans="2:3" x14ac:dyDescent="0.25">
      <c r="B1279" s="53"/>
      <c r="C1279" s="53"/>
    </row>
    <row r="1280" spans="2:3" x14ac:dyDescent="0.25">
      <c r="B1280" s="53"/>
      <c r="C1280" s="53"/>
    </row>
    <row r="1281" spans="2:3" x14ac:dyDescent="0.25">
      <c r="B1281" s="53"/>
      <c r="C1281" s="53"/>
    </row>
    <row r="1282" spans="2:3" x14ac:dyDescent="0.25">
      <c r="B1282" s="53"/>
      <c r="C1282" s="53"/>
    </row>
    <row r="1283" spans="2:3" x14ac:dyDescent="0.25">
      <c r="B1283" s="53"/>
      <c r="C1283" s="53"/>
    </row>
    <row r="1284" spans="2:3" x14ac:dyDescent="0.25">
      <c r="B1284" s="53"/>
      <c r="C1284" s="53"/>
    </row>
    <row r="1285" spans="2:3" x14ac:dyDescent="0.25">
      <c r="B1285" s="53"/>
      <c r="C1285" s="53"/>
    </row>
    <row r="1286" spans="2:3" x14ac:dyDescent="0.25">
      <c r="B1286" s="53"/>
      <c r="C1286" s="53"/>
    </row>
    <row r="1287" spans="2:3" x14ac:dyDescent="0.25">
      <c r="B1287" s="53"/>
      <c r="C1287" s="53"/>
    </row>
    <row r="1288" spans="2:3" x14ac:dyDescent="0.25">
      <c r="B1288" s="53"/>
      <c r="C1288" s="53"/>
    </row>
    <row r="1289" spans="2:3" x14ac:dyDescent="0.25">
      <c r="B1289" s="53"/>
      <c r="C1289" s="53"/>
    </row>
    <row r="1290" spans="2:3" x14ac:dyDescent="0.25">
      <c r="B1290" s="53"/>
      <c r="C1290" s="53"/>
    </row>
    <row r="1291" spans="2:3" x14ac:dyDescent="0.25">
      <c r="B1291" s="53"/>
      <c r="C1291" s="53"/>
    </row>
    <row r="1292" spans="2:3" x14ac:dyDescent="0.25">
      <c r="B1292" s="53"/>
      <c r="C1292" s="53"/>
    </row>
    <row r="1293" spans="2:3" x14ac:dyDescent="0.25">
      <c r="B1293" s="53"/>
      <c r="C1293" s="53"/>
    </row>
    <row r="1294" spans="2:3" x14ac:dyDescent="0.25">
      <c r="B1294" s="53"/>
      <c r="C1294" s="53"/>
    </row>
    <row r="1295" spans="2:3" x14ac:dyDescent="0.25">
      <c r="B1295" s="53"/>
      <c r="C1295" s="53"/>
    </row>
    <row r="1296" spans="2:3" x14ac:dyDescent="0.25">
      <c r="B1296" s="53"/>
      <c r="C1296" s="53"/>
    </row>
    <row r="1297" spans="2:3" x14ac:dyDescent="0.25">
      <c r="B1297" s="53"/>
      <c r="C1297" s="53"/>
    </row>
    <row r="1298" spans="2:3" x14ac:dyDescent="0.25">
      <c r="B1298" s="53"/>
      <c r="C1298" s="53"/>
    </row>
    <row r="1299" spans="2:3" x14ac:dyDescent="0.25">
      <c r="B1299" s="53"/>
      <c r="C1299" s="53"/>
    </row>
    <row r="1300" spans="2:3" x14ac:dyDescent="0.25">
      <c r="B1300" s="53"/>
      <c r="C1300" s="53"/>
    </row>
    <row r="1301" spans="2:3" x14ac:dyDescent="0.25">
      <c r="B1301" s="53"/>
      <c r="C1301" s="53"/>
    </row>
    <row r="1302" spans="2:3" x14ac:dyDescent="0.25">
      <c r="B1302" s="53"/>
      <c r="C1302" s="53"/>
    </row>
    <row r="1303" spans="2:3" x14ac:dyDescent="0.25">
      <c r="B1303" s="53"/>
      <c r="C1303" s="53"/>
    </row>
    <row r="1304" spans="2:3" x14ac:dyDescent="0.25">
      <c r="B1304" s="53"/>
      <c r="C1304" s="53"/>
    </row>
    <row r="1305" spans="2:3" x14ac:dyDescent="0.25">
      <c r="B1305" s="53"/>
      <c r="C1305" s="53"/>
    </row>
    <row r="1306" spans="2:3" x14ac:dyDescent="0.25">
      <c r="B1306" s="53"/>
      <c r="C1306" s="53"/>
    </row>
    <row r="1307" spans="2:3" x14ac:dyDescent="0.25">
      <c r="B1307" s="53"/>
      <c r="C1307" s="53"/>
    </row>
    <row r="1308" spans="2:3" x14ac:dyDescent="0.25">
      <c r="B1308" s="53"/>
      <c r="C1308" s="53"/>
    </row>
    <row r="1309" spans="2:3" x14ac:dyDescent="0.25">
      <c r="B1309" s="53"/>
      <c r="C1309" s="53"/>
    </row>
    <row r="1310" spans="2:3" x14ac:dyDescent="0.25">
      <c r="B1310" s="53"/>
      <c r="C1310" s="53"/>
    </row>
    <row r="1311" spans="2:3" x14ac:dyDescent="0.25">
      <c r="B1311" s="53"/>
      <c r="C1311" s="53"/>
    </row>
    <row r="1312" spans="2:3" x14ac:dyDescent="0.25">
      <c r="B1312" s="53"/>
      <c r="C1312" s="53"/>
    </row>
    <row r="1313" spans="2:3" x14ac:dyDescent="0.25">
      <c r="B1313" s="53"/>
      <c r="C1313" s="53"/>
    </row>
    <row r="1314" spans="2:3" x14ac:dyDescent="0.25">
      <c r="B1314" s="53"/>
      <c r="C1314" s="53"/>
    </row>
    <row r="1315" spans="2:3" x14ac:dyDescent="0.25">
      <c r="B1315" s="53"/>
      <c r="C1315" s="53"/>
    </row>
    <row r="1316" spans="2:3" x14ac:dyDescent="0.25">
      <c r="B1316" s="53"/>
      <c r="C1316" s="53"/>
    </row>
    <row r="1317" spans="2:3" x14ac:dyDescent="0.25">
      <c r="B1317" s="53"/>
      <c r="C1317" s="53"/>
    </row>
    <row r="1318" spans="2:3" x14ac:dyDescent="0.25">
      <c r="B1318" s="53"/>
      <c r="C1318" s="53"/>
    </row>
    <row r="1319" spans="2:3" x14ac:dyDescent="0.25">
      <c r="B1319" s="53"/>
      <c r="C1319" s="53"/>
    </row>
    <row r="1320" spans="2:3" x14ac:dyDescent="0.25">
      <c r="B1320" s="53"/>
      <c r="C1320" s="53"/>
    </row>
    <row r="1321" spans="2:3" x14ac:dyDescent="0.25">
      <c r="B1321" s="53"/>
      <c r="C1321" s="53"/>
    </row>
    <row r="1322" spans="2:3" x14ac:dyDescent="0.25">
      <c r="B1322" s="53"/>
      <c r="C1322" s="53"/>
    </row>
    <row r="1323" spans="2:3" x14ac:dyDescent="0.25">
      <c r="B1323" s="53"/>
      <c r="C1323" s="53"/>
    </row>
    <row r="1324" spans="2:3" x14ac:dyDescent="0.25">
      <c r="B1324" s="53"/>
      <c r="C1324" s="53"/>
    </row>
    <row r="1325" spans="2:3" x14ac:dyDescent="0.25">
      <c r="B1325" s="53"/>
      <c r="C1325" s="53"/>
    </row>
    <row r="1326" spans="2:3" x14ac:dyDescent="0.25">
      <c r="B1326" s="53"/>
      <c r="C1326" s="53"/>
    </row>
    <row r="1327" spans="2:3" x14ac:dyDescent="0.25">
      <c r="B1327" s="53"/>
      <c r="C1327" s="53"/>
    </row>
    <row r="1328" spans="2:3" x14ac:dyDescent="0.25">
      <c r="B1328" s="53"/>
      <c r="C1328" s="53"/>
    </row>
    <row r="1329" spans="2:3" x14ac:dyDescent="0.25">
      <c r="B1329" s="53"/>
      <c r="C1329" s="53"/>
    </row>
    <row r="1330" spans="2:3" x14ac:dyDescent="0.25">
      <c r="B1330" s="53"/>
      <c r="C1330" s="53"/>
    </row>
    <row r="1331" spans="2:3" x14ac:dyDescent="0.25">
      <c r="B1331" s="53"/>
      <c r="C1331" s="53"/>
    </row>
    <row r="1332" spans="2:3" x14ac:dyDescent="0.25">
      <c r="B1332" s="53"/>
      <c r="C1332" s="53"/>
    </row>
    <row r="1333" spans="2:3" x14ac:dyDescent="0.25">
      <c r="B1333" s="53"/>
      <c r="C1333" s="53"/>
    </row>
    <row r="1334" spans="2:3" x14ac:dyDescent="0.25">
      <c r="B1334" s="53"/>
      <c r="C1334" s="53"/>
    </row>
    <row r="1335" spans="2:3" x14ac:dyDescent="0.25">
      <c r="B1335" s="53"/>
      <c r="C1335" s="53"/>
    </row>
    <row r="1336" spans="2:3" x14ac:dyDescent="0.25">
      <c r="B1336" s="53"/>
      <c r="C1336" s="53"/>
    </row>
    <row r="1337" spans="2:3" x14ac:dyDescent="0.25">
      <c r="B1337" s="53"/>
      <c r="C1337" s="53"/>
    </row>
    <row r="1338" spans="2:3" x14ac:dyDescent="0.25">
      <c r="B1338" s="53"/>
      <c r="C1338" s="53"/>
    </row>
    <row r="1339" spans="2:3" x14ac:dyDescent="0.25">
      <c r="B1339" s="53"/>
      <c r="C1339" s="53"/>
    </row>
    <row r="1340" spans="2:3" x14ac:dyDescent="0.25">
      <c r="B1340" s="53"/>
      <c r="C1340" s="53"/>
    </row>
    <row r="1341" spans="2:3" x14ac:dyDescent="0.25">
      <c r="B1341" s="53"/>
      <c r="C1341" s="53"/>
    </row>
    <row r="1342" spans="2:3" x14ac:dyDescent="0.25">
      <c r="B1342" s="53"/>
      <c r="C1342" s="53"/>
    </row>
    <row r="1343" spans="2:3" x14ac:dyDescent="0.25">
      <c r="B1343" s="53"/>
      <c r="C1343" s="53"/>
    </row>
    <row r="1344" spans="2:3" x14ac:dyDescent="0.25">
      <c r="B1344" s="53"/>
      <c r="C1344" s="53"/>
    </row>
    <row r="1345" spans="2:3" x14ac:dyDescent="0.25">
      <c r="B1345" s="53"/>
      <c r="C1345" s="53"/>
    </row>
    <row r="1346" spans="2:3" x14ac:dyDescent="0.25">
      <c r="B1346" s="53"/>
      <c r="C1346" s="53"/>
    </row>
    <row r="1347" spans="2:3" x14ac:dyDescent="0.25">
      <c r="B1347" s="53"/>
      <c r="C1347" s="53"/>
    </row>
    <row r="1348" spans="2:3" x14ac:dyDescent="0.25">
      <c r="B1348" s="53"/>
      <c r="C1348" s="53"/>
    </row>
    <row r="1349" spans="2:3" x14ac:dyDescent="0.25">
      <c r="B1349" s="53"/>
      <c r="C1349" s="53"/>
    </row>
    <row r="1350" spans="2:3" x14ac:dyDescent="0.25">
      <c r="B1350" s="53"/>
      <c r="C1350" s="53"/>
    </row>
    <row r="1351" spans="2:3" x14ac:dyDescent="0.25">
      <c r="B1351" s="53"/>
      <c r="C1351" s="53"/>
    </row>
    <row r="1352" spans="2:3" x14ac:dyDescent="0.25">
      <c r="B1352" s="53"/>
      <c r="C1352" s="53"/>
    </row>
    <row r="1353" spans="2:3" x14ac:dyDescent="0.25">
      <c r="B1353" s="53"/>
      <c r="C1353" s="53"/>
    </row>
    <row r="1354" spans="2:3" x14ac:dyDescent="0.25">
      <c r="B1354" s="53"/>
      <c r="C1354" s="53"/>
    </row>
    <row r="1355" spans="2:3" x14ac:dyDescent="0.25">
      <c r="B1355" s="53"/>
      <c r="C1355" s="53"/>
    </row>
    <row r="1356" spans="2:3" x14ac:dyDescent="0.25">
      <c r="B1356" s="53"/>
      <c r="C1356" s="53"/>
    </row>
    <row r="1357" spans="2:3" x14ac:dyDescent="0.25">
      <c r="B1357" s="53"/>
      <c r="C1357" s="53"/>
    </row>
    <row r="1358" spans="2:3" x14ac:dyDescent="0.25">
      <c r="B1358" s="53"/>
      <c r="C1358" s="53"/>
    </row>
    <row r="1359" spans="2:3" x14ac:dyDescent="0.25">
      <c r="B1359" s="53"/>
      <c r="C1359" s="53"/>
    </row>
    <row r="1360" spans="2:3" x14ac:dyDescent="0.25">
      <c r="B1360" s="53"/>
      <c r="C1360" s="53"/>
    </row>
    <row r="1361" spans="2:3" x14ac:dyDescent="0.25">
      <c r="B1361" s="53"/>
      <c r="C1361" s="53"/>
    </row>
    <row r="1362" spans="2:3" x14ac:dyDescent="0.25">
      <c r="B1362" s="53"/>
      <c r="C1362" s="53"/>
    </row>
    <row r="1363" spans="2:3" x14ac:dyDescent="0.25">
      <c r="B1363" s="53"/>
      <c r="C1363" s="53"/>
    </row>
    <row r="1364" spans="2:3" x14ac:dyDescent="0.25">
      <c r="B1364" s="53"/>
      <c r="C1364" s="53"/>
    </row>
    <row r="1365" spans="2:3" x14ac:dyDescent="0.25">
      <c r="B1365" s="53"/>
      <c r="C1365" s="53"/>
    </row>
    <row r="1366" spans="2:3" x14ac:dyDescent="0.25">
      <c r="B1366" s="53"/>
      <c r="C1366" s="53"/>
    </row>
    <row r="1367" spans="2:3" x14ac:dyDescent="0.25">
      <c r="B1367" s="53"/>
      <c r="C1367" s="53"/>
    </row>
    <row r="1368" spans="2:3" x14ac:dyDescent="0.25">
      <c r="B1368" s="53"/>
      <c r="C1368" s="53"/>
    </row>
    <row r="1369" spans="2:3" x14ac:dyDescent="0.25">
      <c r="B1369" s="53"/>
      <c r="C1369" s="53"/>
    </row>
    <row r="1370" spans="2:3" x14ac:dyDescent="0.25">
      <c r="B1370" s="53"/>
      <c r="C1370" s="53"/>
    </row>
    <row r="1371" spans="2:3" x14ac:dyDescent="0.25">
      <c r="B1371" s="53"/>
      <c r="C1371" s="53"/>
    </row>
    <row r="1372" spans="2:3" x14ac:dyDescent="0.25">
      <c r="B1372" s="53"/>
      <c r="C1372" s="53"/>
    </row>
    <row r="1373" spans="2:3" x14ac:dyDescent="0.25">
      <c r="B1373" s="53"/>
      <c r="C1373" s="53"/>
    </row>
    <row r="1374" spans="2:3" x14ac:dyDescent="0.25">
      <c r="B1374" s="53"/>
      <c r="C1374" s="53"/>
    </row>
    <row r="1375" spans="2:3" x14ac:dyDescent="0.25">
      <c r="B1375" s="53"/>
      <c r="C1375" s="53"/>
    </row>
    <row r="1376" spans="2:3" x14ac:dyDescent="0.25">
      <c r="B1376" s="53"/>
      <c r="C1376" s="53"/>
    </row>
    <row r="1377" spans="2:3" x14ac:dyDescent="0.25">
      <c r="B1377" s="53"/>
      <c r="C1377" s="53"/>
    </row>
    <row r="1378" spans="2:3" x14ac:dyDescent="0.25">
      <c r="B1378" s="53"/>
      <c r="C1378" s="53"/>
    </row>
    <row r="1379" spans="2:3" x14ac:dyDescent="0.25">
      <c r="B1379" s="53"/>
      <c r="C1379" s="53"/>
    </row>
    <row r="1380" spans="2:3" x14ac:dyDescent="0.25">
      <c r="B1380" s="53"/>
      <c r="C1380" s="53"/>
    </row>
    <row r="1381" spans="2:3" x14ac:dyDescent="0.25">
      <c r="B1381" s="53"/>
      <c r="C1381" s="53"/>
    </row>
    <row r="1382" spans="2:3" x14ac:dyDescent="0.25">
      <c r="B1382" s="53"/>
      <c r="C1382" s="53"/>
    </row>
    <row r="1383" spans="2:3" x14ac:dyDescent="0.25">
      <c r="B1383" s="53"/>
      <c r="C1383" s="53"/>
    </row>
    <row r="1384" spans="2:3" x14ac:dyDescent="0.25">
      <c r="B1384" s="53"/>
      <c r="C1384" s="53"/>
    </row>
    <row r="1385" spans="2:3" x14ac:dyDescent="0.25">
      <c r="B1385" s="53"/>
      <c r="C1385" s="53"/>
    </row>
    <row r="1386" spans="2:3" x14ac:dyDescent="0.25">
      <c r="B1386" s="53"/>
      <c r="C1386" s="53"/>
    </row>
    <row r="1387" spans="2:3" x14ac:dyDescent="0.25">
      <c r="B1387" s="53"/>
      <c r="C1387" s="53"/>
    </row>
    <row r="1388" spans="2:3" x14ac:dyDescent="0.25">
      <c r="B1388" s="53"/>
      <c r="C1388" s="53"/>
    </row>
    <row r="1389" spans="2:3" x14ac:dyDescent="0.25">
      <c r="B1389" s="53"/>
      <c r="C1389" s="53"/>
    </row>
    <row r="1390" spans="2:3" x14ac:dyDescent="0.25">
      <c r="B1390" s="53"/>
      <c r="C1390" s="53"/>
    </row>
    <row r="1391" spans="2:3" x14ac:dyDescent="0.25">
      <c r="B1391" s="53"/>
      <c r="C1391" s="53"/>
    </row>
    <row r="1392" spans="2:3" x14ac:dyDescent="0.25">
      <c r="B1392" s="53"/>
      <c r="C1392" s="53"/>
    </row>
    <row r="1393" spans="2:3" x14ac:dyDescent="0.25">
      <c r="B1393" s="53"/>
      <c r="C1393" s="53"/>
    </row>
    <row r="1394" spans="2:3" x14ac:dyDescent="0.25">
      <c r="B1394" s="53"/>
      <c r="C1394" s="53"/>
    </row>
    <row r="1395" spans="2:3" x14ac:dyDescent="0.25">
      <c r="B1395" s="53"/>
      <c r="C1395" s="53"/>
    </row>
    <row r="1396" spans="2:3" x14ac:dyDescent="0.25">
      <c r="B1396" s="53"/>
      <c r="C1396" s="53"/>
    </row>
    <row r="1397" spans="2:3" x14ac:dyDescent="0.25">
      <c r="B1397" s="53"/>
      <c r="C1397" s="53"/>
    </row>
    <row r="1398" spans="2:3" x14ac:dyDescent="0.25">
      <c r="B1398" s="53"/>
      <c r="C1398" s="53"/>
    </row>
    <row r="1399" spans="2:3" x14ac:dyDescent="0.25">
      <c r="B1399" s="53"/>
      <c r="C1399" s="53"/>
    </row>
    <row r="1400" spans="2:3" x14ac:dyDescent="0.25">
      <c r="B1400" s="53"/>
      <c r="C1400" s="53"/>
    </row>
    <row r="1401" spans="2:3" x14ac:dyDescent="0.25">
      <c r="B1401" s="53"/>
      <c r="C1401" s="53"/>
    </row>
    <row r="1402" spans="2:3" x14ac:dyDescent="0.25">
      <c r="B1402" s="53"/>
      <c r="C1402" s="53"/>
    </row>
    <row r="1403" spans="2:3" x14ac:dyDescent="0.25">
      <c r="B1403" s="53"/>
      <c r="C1403" s="53"/>
    </row>
    <row r="1404" spans="2:3" x14ac:dyDescent="0.25">
      <c r="B1404" s="53"/>
      <c r="C1404" s="53"/>
    </row>
    <row r="1405" spans="2:3" x14ac:dyDescent="0.25">
      <c r="B1405" s="53"/>
      <c r="C1405" s="53"/>
    </row>
    <row r="1406" spans="2:3" x14ac:dyDescent="0.25">
      <c r="B1406" s="53"/>
      <c r="C1406" s="53"/>
    </row>
    <row r="1407" spans="2:3" x14ac:dyDescent="0.25">
      <c r="B1407" s="53"/>
      <c r="C1407" s="53"/>
    </row>
    <row r="1408" spans="2:3" x14ac:dyDescent="0.25">
      <c r="B1408" s="53"/>
      <c r="C1408" s="53"/>
    </row>
    <row r="1409" spans="2:3" x14ac:dyDescent="0.25">
      <c r="B1409" s="53"/>
      <c r="C1409" s="53"/>
    </row>
    <row r="1410" spans="2:3" x14ac:dyDescent="0.25">
      <c r="B1410" s="53"/>
      <c r="C1410" s="53"/>
    </row>
    <row r="1411" spans="2:3" x14ac:dyDescent="0.25">
      <c r="B1411" s="53"/>
      <c r="C1411" s="53"/>
    </row>
    <row r="1412" spans="2:3" x14ac:dyDescent="0.25">
      <c r="B1412" s="53"/>
      <c r="C1412" s="53"/>
    </row>
    <row r="1413" spans="2:3" x14ac:dyDescent="0.25">
      <c r="B1413" s="53"/>
      <c r="C1413" s="53"/>
    </row>
    <row r="1414" spans="2:3" x14ac:dyDescent="0.25">
      <c r="B1414" s="53"/>
      <c r="C1414" s="53"/>
    </row>
    <row r="1415" spans="2:3" x14ac:dyDescent="0.25">
      <c r="B1415" s="53"/>
      <c r="C1415" s="53"/>
    </row>
    <row r="1416" spans="2:3" x14ac:dyDescent="0.25">
      <c r="B1416" s="53"/>
      <c r="C1416" s="53"/>
    </row>
    <row r="1417" spans="2:3" x14ac:dyDescent="0.25">
      <c r="B1417" s="53"/>
      <c r="C1417" s="53"/>
    </row>
    <row r="1418" spans="2:3" x14ac:dyDescent="0.25">
      <c r="B1418" s="53"/>
      <c r="C1418" s="53"/>
    </row>
    <row r="1419" spans="2:3" x14ac:dyDescent="0.25">
      <c r="B1419" s="53"/>
      <c r="C1419" s="53"/>
    </row>
    <row r="1420" spans="2:3" x14ac:dyDescent="0.25">
      <c r="B1420" s="53"/>
      <c r="C1420" s="53"/>
    </row>
    <row r="1421" spans="2:3" x14ac:dyDescent="0.25">
      <c r="B1421" s="53"/>
      <c r="C1421" s="53"/>
    </row>
    <row r="1422" spans="2:3" x14ac:dyDescent="0.25">
      <c r="B1422" s="53"/>
      <c r="C1422" s="53"/>
    </row>
    <row r="1423" spans="2:3" x14ac:dyDescent="0.25">
      <c r="B1423" s="53"/>
      <c r="C1423" s="53"/>
    </row>
    <row r="1424" spans="2:3" x14ac:dyDescent="0.25">
      <c r="B1424" s="53"/>
      <c r="C1424" s="53"/>
    </row>
    <row r="1425" spans="2:3" x14ac:dyDescent="0.25">
      <c r="B1425" s="53"/>
      <c r="C1425" s="53"/>
    </row>
    <row r="1426" spans="2:3" x14ac:dyDescent="0.25">
      <c r="B1426" s="53"/>
      <c r="C1426" s="53"/>
    </row>
    <row r="1427" spans="2:3" x14ac:dyDescent="0.25">
      <c r="B1427" s="53"/>
      <c r="C1427" s="53"/>
    </row>
    <row r="1428" spans="2:3" x14ac:dyDescent="0.25">
      <c r="B1428" s="53"/>
      <c r="C1428" s="53"/>
    </row>
    <row r="1429" spans="2:3" x14ac:dyDescent="0.25">
      <c r="B1429" s="53"/>
      <c r="C1429" s="53"/>
    </row>
    <row r="1430" spans="2:3" x14ac:dyDescent="0.25">
      <c r="B1430" s="53"/>
      <c r="C1430" s="53"/>
    </row>
    <row r="1431" spans="2:3" x14ac:dyDescent="0.25">
      <c r="B1431" s="53"/>
      <c r="C1431" s="53"/>
    </row>
    <row r="1432" spans="2:3" x14ac:dyDescent="0.25">
      <c r="B1432" s="53"/>
      <c r="C1432" s="53"/>
    </row>
    <row r="1433" spans="2:3" x14ac:dyDescent="0.25">
      <c r="B1433" s="53"/>
      <c r="C1433" s="53"/>
    </row>
    <row r="1434" spans="2:3" x14ac:dyDescent="0.25">
      <c r="B1434" s="53"/>
      <c r="C1434" s="53"/>
    </row>
    <row r="1435" spans="2:3" x14ac:dyDescent="0.25">
      <c r="B1435" s="53"/>
      <c r="C1435" s="53"/>
    </row>
    <row r="1436" spans="2:3" x14ac:dyDescent="0.25">
      <c r="B1436" s="53"/>
      <c r="C1436" s="53"/>
    </row>
    <row r="1437" spans="2:3" x14ac:dyDescent="0.25">
      <c r="B1437" s="53"/>
      <c r="C1437" s="53"/>
    </row>
    <row r="1438" spans="2:3" x14ac:dyDescent="0.25">
      <c r="B1438" s="53"/>
      <c r="C1438" s="53"/>
    </row>
    <row r="1439" spans="2:3" x14ac:dyDescent="0.25">
      <c r="B1439" s="53"/>
      <c r="C1439" s="53"/>
    </row>
    <row r="1440" spans="2:3" x14ac:dyDescent="0.25">
      <c r="B1440" s="53"/>
      <c r="C1440" s="53"/>
    </row>
    <row r="1441" spans="2:3" x14ac:dyDescent="0.25">
      <c r="B1441" s="53"/>
      <c r="C1441" s="53"/>
    </row>
    <row r="1442" spans="2:3" x14ac:dyDescent="0.25">
      <c r="B1442" s="53"/>
      <c r="C1442" s="53"/>
    </row>
    <row r="1443" spans="2:3" x14ac:dyDescent="0.25">
      <c r="B1443" s="53"/>
      <c r="C1443" s="53"/>
    </row>
    <row r="1444" spans="2:3" x14ac:dyDescent="0.25">
      <c r="B1444" s="53"/>
      <c r="C1444" s="53"/>
    </row>
    <row r="1445" spans="2:3" x14ac:dyDescent="0.25">
      <c r="B1445" s="53"/>
      <c r="C1445" s="53"/>
    </row>
    <row r="1446" spans="2:3" x14ac:dyDescent="0.25">
      <c r="B1446" s="53"/>
      <c r="C1446" s="53"/>
    </row>
    <row r="1447" spans="2:3" x14ac:dyDescent="0.25">
      <c r="B1447" s="53"/>
      <c r="C1447" s="53"/>
    </row>
    <row r="1448" spans="2:3" x14ac:dyDescent="0.25">
      <c r="B1448" s="53"/>
      <c r="C1448" s="53"/>
    </row>
    <row r="1449" spans="2:3" x14ac:dyDescent="0.25">
      <c r="B1449" s="53"/>
      <c r="C1449" s="53"/>
    </row>
    <row r="1450" spans="2:3" x14ac:dyDescent="0.25">
      <c r="B1450" s="53"/>
      <c r="C1450" s="53"/>
    </row>
    <row r="1451" spans="2:3" x14ac:dyDescent="0.25">
      <c r="B1451" s="53"/>
      <c r="C1451" s="53"/>
    </row>
    <row r="1452" spans="2:3" x14ac:dyDescent="0.25">
      <c r="B1452" s="53"/>
      <c r="C1452" s="53"/>
    </row>
    <row r="1453" spans="2:3" x14ac:dyDescent="0.25">
      <c r="B1453" s="53"/>
      <c r="C1453" s="53"/>
    </row>
    <row r="1454" spans="2:3" x14ac:dyDescent="0.25">
      <c r="B1454" s="53"/>
      <c r="C1454" s="53"/>
    </row>
    <row r="1455" spans="2:3" x14ac:dyDescent="0.25">
      <c r="B1455" s="53"/>
      <c r="C1455" s="53"/>
    </row>
    <row r="1456" spans="2:3" x14ac:dyDescent="0.25">
      <c r="B1456" s="53"/>
      <c r="C1456" s="53"/>
    </row>
    <row r="1457" spans="2:3" x14ac:dyDescent="0.25">
      <c r="B1457" s="53"/>
      <c r="C1457" s="53"/>
    </row>
    <row r="1458" spans="2:3" x14ac:dyDescent="0.25">
      <c r="B1458" s="53"/>
      <c r="C1458" s="53"/>
    </row>
    <row r="1459" spans="2:3" x14ac:dyDescent="0.25">
      <c r="B1459" s="53"/>
      <c r="C1459" s="53"/>
    </row>
    <row r="1460" spans="2:3" x14ac:dyDescent="0.25">
      <c r="B1460" s="53"/>
      <c r="C1460" s="53"/>
    </row>
    <row r="1461" spans="2:3" x14ac:dyDescent="0.25">
      <c r="B1461" s="53"/>
      <c r="C1461" s="53"/>
    </row>
    <row r="1462" spans="2:3" x14ac:dyDescent="0.25">
      <c r="B1462" s="53"/>
      <c r="C1462" s="53"/>
    </row>
    <row r="1463" spans="2:3" x14ac:dyDescent="0.25">
      <c r="B1463" s="53"/>
      <c r="C1463" s="53"/>
    </row>
    <row r="1464" spans="2:3" x14ac:dyDescent="0.25">
      <c r="B1464" s="53"/>
      <c r="C1464" s="53"/>
    </row>
    <row r="1465" spans="2:3" x14ac:dyDescent="0.25">
      <c r="B1465" s="53"/>
      <c r="C1465" s="53"/>
    </row>
    <row r="1466" spans="2:3" x14ac:dyDescent="0.25">
      <c r="B1466" s="53"/>
      <c r="C1466" s="53"/>
    </row>
    <row r="1467" spans="2:3" x14ac:dyDescent="0.25">
      <c r="B1467" s="53"/>
      <c r="C1467" s="53"/>
    </row>
    <row r="1468" spans="2:3" x14ac:dyDescent="0.25">
      <c r="B1468" s="53"/>
      <c r="C1468" s="53"/>
    </row>
    <row r="1469" spans="2:3" x14ac:dyDescent="0.25">
      <c r="B1469" s="53"/>
      <c r="C1469" s="53"/>
    </row>
    <row r="1470" spans="2:3" x14ac:dyDescent="0.25">
      <c r="B1470" s="53"/>
      <c r="C1470" s="53"/>
    </row>
    <row r="1471" spans="2:3" x14ac:dyDescent="0.25">
      <c r="B1471" s="53"/>
      <c r="C1471" s="53"/>
    </row>
    <row r="1472" spans="2:3" x14ac:dyDescent="0.25">
      <c r="B1472" s="53"/>
      <c r="C1472" s="53"/>
    </row>
    <row r="1473" spans="2:3" x14ac:dyDescent="0.25">
      <c r="B1473" s="53"/>
      <c r="C1473" s="53"/>
    </row>
    <row r="1474" spans="2:3" x14ac:dyDescent="0.25">
      <c r="B1474" s="53"/>
      <c r="C1474" s="53"/>
    </row>
    <row r="1475" spans="2:3" x14ac:dyDescent="0.25">
      <c r="B1475" s="53"/>
      <c r="C1475" s="53"/>
    </row>
    <row r="1476" spans="2:3" x14ac:dyDescent="0.25">
      <c r="B1476" s="53"/>
      <c r="C1476" s="53"/>
    </row>
    <row r="1477" spans="2:3" x14ac:dyDescent="0.25">
      <c r="B1477" s="53"/>
      <c r="C1477" s="53"/>
    </row>
    <row r="1478" spans="2:3" x14ac:dyDescent="0.25">
      <c r="B1478" s="53"/>
      <c r="C1478" s="53"/>
    </row>
    <row r="1479" spans="2:3" x14ac:dyDescent="0.25">
      <c r="B1479" s="53"/>
      <c r="C1479" s="53"/>
    </row>
    <row r="1480" spans="2:3" x14ac:dyDescent="0.25">
      <c r="B1480" s="53"/>
      <c r="C1480" s="53"/>
    </row>
    <row r="1481" spans="2:3" x14ac:dyDescent="0.25">
      <c r="B1481" s="53"/>
      <c r="C1481" s="53"/>
    </row>
    <row r="1482" spans="2:3" x14ac:dyDescent="0.25">
      <c r="B1482" s="53"/>
      <c r="C1482" s="53"/>
    </row>
    <row r="1483" spans="2:3" x14ac:dyDescent="0.25">
      <c r="B1483" s="53"/>
      <c r="C1483" s="53"/>
    </row>
    <row r="1484" spans="2:3" x14ac:dyDescent="0.25">
      <c r="B1484" s="53"/>
      <c r="C1484" s="53"/>
    </row>
    <row r="1485" spans="2:3" x14ac:dyDescent="0.25">
      <c r="B1485" s="53"/>
      <c r="C1485" s="53"/>
    </row>
    <row r="1486" spans="2:3" x14ac:dyDescent="0.25">
      <c r="B1486" s="53"/>
      <c r="C1486" s="53"/>
    </row>
    <row r="1487" spans="2:3" x14ac:dyDescent="0.25">
      <c r="B1487" s="53"/>
      <c r="C1487" s="53"/>
    </row>
    <row r="1488" spans="2:3" x14ac:dyDescent="0.25">
      <c r="B1488" s="53"/>
      <c r="C1488" s="53"/>
    </row>
    <row r="1489" spans="2:3" x14ac:dyDescent="0.25">
      <c r="B1489" s="53"/>
      <c r="C1489" s="53"/>
    </row>
    <row r="1490" spans="2:3" x14ac:dyDescent="0.25">
      <c r="B1490" s="53"/>
      <c r="C1490" s="53"/>
    </row>
    <row r="1491" spans="2:3" x14ac:dyDescent="0.25">
      <c r="B1491" s="53"/>
      <c r="C1491" s="53"/>
    </row>
    <row r="1492" spans="2:3" x14ac:dyDescent="0.25">
      <c r="B1492" s="53"/>
      <c r="C1492" s="53"/>
    </row>
    <row r="1493" spans="2:3" x14ac:dyDescent="0.25">
      <c r="B1493" s="53"/>
      <c r="C1493" s="53"/>
    </row>
    <row r="1494" spans="2:3" x14ac:dyDescent="0.25">
      <c r="B1494" s="53"/>
      <c r="C1494" s="53"/>
    </row>
    <row r="1495" spans="2:3" x14ac:dyDescent="0.25">
      <c r="B1495" s="53"/>
      <c r="C1495" s="53"/>
    </row>
    <row r="1496" spans="2:3" x14ac:dyDescent="0.25">
      <c r="B1496" s="53"/>
      <c r="C1496" s="53"/>
    </row>
    <row r="1497" spans="2:3" x14ac:dyDescent="0.25">
      <c r="B1497" s="53"/>
      <c r="C1497" s="53"/>
    </row>
    <row r="1498" spans="2:3" x14ac:dyDescent="0.25">
      <c r="B1498" s="53"/>
      <c r="C1498" s="53"/>
    </row>
    <row r="1499" spans="2:3" x14ac:dyDescent="0.25">
      <c r="B1499" s="53"/>
      <c r="C1499" s="53"/>
    </row>
    <row r="1500" spans="2:3" x14ac:dyDescent="0.25">
      <c r="B1500" s="53"/>
      <c r="C1500" s="53"/>
    </row>
    <row r="1501" spans="2:3" x14ac:dyDescent="0.25">
      <c r="B1501" s="53"/>
      <c r="C1501" s="53"/>
    </row>
    <row r="1502" spans="2:3" x14ac:dyDescent="0.25">
      <c r="B1502" s="53"/>
      <c r="C1502" s="53"/>
    </row>
    <row r="1503" spans="2:3" x14ac:dyDescent="0.25">
      <c r="B1503" s="53"/>
      <c r="C1503" s="53"/>
    </row>
    <row r="1504" spans="2:3" x14ac:dyDescent="0.25">
      <c r="B1504" s="53"/>
      <c r="C1504" s="53"/>
    </row>
    <row r="1505" spans="2:3" x14ac:dyDescent="0.25">
      <c r="B1505" s="53"/>
      <c r="C1505" s="53"/>
    </row>
    <row r="1506" spans="2:3" x14ac:dyDescent="0.25">
      <c r="B1506" s="53"/>
      <c r="C1506" s="53"/>
    </row>
    <row r="1507" spans="2:3" x14ac:dyDescent="0.25">
      <c r="B1507" s="53"/>
      <c r="C1507" s="53"/>
    </row>
    <row r="1508" spans="2:3" x14ac:dyDescent="0.25">
      <c r="B1508" s="53"/>
      <c r="C1508" s="53"/>
    </row>
    <row r="1509" spans="2:3" x14ac:dyDescent="0.25">
      <c r="B1509" s="53"/>
      <c r="C1509" s="53"/>
    </row>
    <row r="1510" spans="2:3" x14ac:dyDescent="0.25">
      <c r="B1510" s="53"/>
      <c r="C1510" s="53"/>
    </row>
    <row r="1511" spans="2:3" x14ac:dyDescent="0.25">
      <c r="B1511" s="53"/>
      <c r="C1511" s="53"/>
    </row>
    <row r="1512" spans="2:3" x14ac:dyDescent="0.25">
      <c r="B1512" s="53"/>
      <c r="C1512" s="53"/>
    </row>
    <row r="1513" spans="2:3" x14ac:dyDescent="0.25">
      <c r="B1513" s="53"/>
      <c r="C1513" s="53"/>
    </row>
    <row r="1514" spans="2:3" x14ac:dyDescent="0.25">
      <c r="B1514" s="53"/>
      <c r="C1514" s="53"/>
    </row>
    <row r="1515" spans="2:3" x14ac:dyDescent="0.25">
      <c r="B1515" s="53"/>
      <c r="C1515" s="53"/>
    </row>
    <row r="1516" spans="2:3" x14ac:dyDescent="0.25">
      <c r="B1516" s="53"/>
      <c r="C1516" s="53"/>
    </row>
    <row r="1517" spans="2:3" x14ac:dyDescent="0.25">
      <c r="B1517" s="53"/>
      <c r="C1517" s="53"/>
    </row>
    <row r="1518" spans="2:3" x14ac:dyDescent="0.25">
      <c r="B1518" s="53"/>
      <c r="C1518" s="53"/>
    </row>
    <row r="1519" spans="2:3" x14ac:dyDescent="0.25">
      <c r="B1519" s="53"/>
      <c r="C1519" s="53"/>
    </row>
    <row r="1520" spans="2:3" x14ac:dyDescent="0.25">
      <c r="B1520" s="53"/>
      <c r="C1520" s="53"/>
    </row>
    <row r="1521" spans="2:3" x14ac:dyDescent="0.25">
      <c r="B1521" s="53"/>
      <c r="C1521" s="53"/>
    </row>
    <row r="1522" spans="2:3" x14ac:dyDescent="0.25">
      <c r="B1522" s="53"/>
      <c r="C1522" s="53"/>
    </row>
    <row r="1523" spans="2:3" x14ac:dyDescent="0.25">
      <c r="B1523" s="53"/>
      <c r="C1523" s="53"/>
    </row>
    <row r="1524" spans="2:3" x14ac:dyDescent="0.25">
      <c r="B1524" s="53"/>
      <c r="C1524" s="53"/>
    </row>
    <row r="1525" spans="2:3" x14ac:dyDescent="0.25">
      <c r="B1525" s="53"/>
      <c r="C1525" s="53"/>
    </row>
    <row r="1526" spans="2:3" x14ac:dyDescent="0.25">
      <c r="B1526" s="53"/>
      <c r="C1526" s="53"/>
    </row>
    <row r="1527" spans="2:3" x14ac:dyDescent="0.25">
      <c r="B1527" s="53"/>
      <c r="C1527" s="53"/>
    </row>
    <row r="1528" spans="2:3" x14ac:dyDescent="0.25">
      <c r="B1528" s="53"/>
      <c r="C1528" s="53"/>
    </row>
    <row r="1529" spans="2:3" x14ac:dyDescent="0.25">
      <c r="B1529" s="53"/>
      <c r="C1529" s="53"/>
    </row>
    <row r="1530" spans="2:3" x14ac:dyDescent="0.25">
      <c r="B1530" s="53"/>
      <c r="C1530" s="53"/>
    </row>
    <row r="1531" spans="2:3" x14ac:dyDescent="0.25">
      <c r="B1531" s="53"/>
      <c r="C1531" s="53"/>
    </row>
    <row r="1532" spans="2:3" x14ac:dyDescent="0.25">
      <c r="B1532" s="53"/>
      <c r="C1532" s="53"/>
    </row>
    <row r="1533" spans="2:3" x14ac:dyDescent="0.25">
      <c r="B1533" s="53"/>
      <c r="C1533" s="53"/>
    </row>
    <row r="1534" spans="2:3" x14ac:dyDescent="0.25">
      <c r="B1534" s="53"/>
      <c r="C1534" s="53"/>
    </row>
    <row r="1535" spans="2:3" x14ac:dyDescent="0.25">
      <c r="B1535" s="53"/>
      <c r="C1535" s="53"/>
    </row>
    <row r="1536" spans="2:3" x14ac:dyDescent="0.25">
      <c r="B1536" s="53"/>
      <c r="C1536" s="53"/>
    </row>
    <row r="1537" spans="2:3" x14ac:dyDescent="0.25">
      <c r="B1537" s="53"/>
      <c r="C1537" s="53"/>
    </row>
    <row r="1538" spans="2:3" x14ac:dyDescent="0.25">
      <c r="B1538" s="53"/>
      <c r="C1538" s="53"/>
    </row>
    <row r="1539" spans="2:3" x14ac:dyDescent="0.25">
      <c r="B1539" s="53"/>
      <c r="C1539" s="53"/>
    </row>
    <row r="1540" spans="2:3" x14ac:dyDescent="0.25">
      <c r="B1540" s="53"/>
      <c r="C1540" s="53"/>
    </row>
    <row r="1541" spans="2:3" x14ac:dyDescent="0.25">
      <c r="B1541" s="53"/>
      <c r="C1541" s="53"/>
    </row>
    <row r="1542" spans="2:3" x14ac:dyDescent="0.25">
      <c r="B1542" s="53"/>
      <c r="C1542" s="53"/>
    </row>
    <row r="1543" spans="2:3" x14ac:dyDescent="0.25">
      <c r="B1543" s="53"/>
      <c r="C1543" s="53"/>
    </row>
    <row r="1544" spans="2:3" x14ac:dyDescent="0.25">
      <c r="B1544" s="53"/>
      <c r="C1544" s="53"/>
    </row>
    <row r="1545" spans="2:3" x14ac:dyDescent="0.25">
      <c r="B1545" s="53"/>
      <c r="C1545" s="53"/>
    </row>
    <row r="1546" spans="2:3" x14ac:dyDescent="0.25">
      <c r="B1546" s="53"/>
      <c r="C1546" s="53"/>
    </row>
    <row r="1547" spans="2:3" x14ac:dyDescent="0.25">
      <c r="B1547" s="53"/>
      <c r="C1547" s="53"/>
    </row>
    <row r="1548" spans="2:3" x14ac:dyDescent="0.25">
      <c r="B1548" s="53"/>
      <c r="C1548" s="53"/>
    </row>
    <row r="1549" spans="2:3" x14ac:dyDescent="0.25">
      <c r="B1549" s="53"/>
      <c r="C1549" s="53"/>
    </row>
    <row r="1550" spans="2:3" x14ac:dyDescent="0.25">
      <c r="B1550" s="53"/>
      <c r="C1550" s="53"/>
    </row>
    <row r="1551" spans="2:3" x14ac:dyDescent="0.25">
      <c r="B1551" s="53"/>
      <c r="C1551" s="53"/>
    </row>
    <row r="1552" spans="2:3" x14ac:dyDescent="0.25">
      <c r="B1552" s="53"/>
      <c r="C1552" s="53"/>
    </row>
    <row r="1553" spans="2:3" x14ac:dyDescent="0.25">
      <c r="B1553" s="53"/>
      <c r="C1553" s="53"/>
    </row>
    <row r="1554" spans="2:3" x14ac:dyDescent="0.25">
      <c r="B1554" s="53"/>
      <c r="C1554" s="53"/>
    </row>
    <row r="1555" spans="2:3" x14ac:dyDescent="0.25">
      <c r="B1555" s="53"/>
      <c r="C1555" s="53"/>
    </row>
    <row r="1556" spans="2:3" x14ac:dyDescent="0.25">
      <c r="B1556" s="53"/>
      <c r="C1556" s="53"/>
    </row>
    <row r="1557" spans="2:3" x14ac:dyDescent="0.25">
      <c r="B1557" s="53"/>
      <c r="C1557" s="53"/>
    </row>
    <row r="1558" spans="2:3" x14ac:dyDescent="0.25">
      <c r="B1558" s="53"/>
      <c r="C1558" s="53"/>
    </row>
    <row r="1559" spans="2:3" x14ac:dyDescent="0.25">
      <c r="B1559" s="53"/>
      <c r="C1559" s="53"/>
    </row>
    <row r="1560" spans="2:3" x14ac:dyDescent="0.25">
      <c r="B1560" s="53"/>
      <c r="C1560" s="53"/>
    </row>
    <row r="1561" spans="2:3" x14ac:dyDescent="0.25">
      <c r="B1561" s="53"/>
      <c r="C1561" s="53"/>
    </row>
    <row r="1562" spans="2:3" x14ac:dyDescent="0.25">
      <c r="B1562" s="53"/>
      <c r="C1562" s="53"/>
    </row>
    <row r="1563" spans="2:3" x14ac:dyDescent="0.25">
      <c r="B1563" s="53"/>
      <c r="C1563" s="53"/>
    </row>
    <row r="1564" spans="2:3" x14ac:dyDescent="0.25">
      <c r="B1564" s="53"/>
      <c r="C1564" s="53"/>
    </row>
    <row r="1565" spans="2:3" x14ac:dyDescent="0.25">
      <c r="B1565" s="53"/>
      <c r="C1565" s="53"/>
    </row>
    <row r="1566" spans="2:3" x14ac:dyDescent="0.25">
      <c r="B1566" s="53"/>
      <c r="C1566" s="53"/>
    </row>
    <row r="1567" spans="2:3" x14ac:dyDescent="0.25">
      <c r="B1567" s="53"/>
      <c r="C1567" s="53"/>
    </row>
    <row r="1568" spans="2:3" x14ac:dyDescent="0.25">
      <c r="B1568" s="53"/>
      <c r="C1568" s="53"/>
    </row>
    <row r="1569" spans="2:3" x14ac:dyDescent="0.25">
      <c r="B1569" s="53"/>
      <c r="C1569" s="53"/>
    </row>
    <row r="1570" spans="2:3" x14ac:dyDescent="0.25">
      <c r="B1570" s="53"/>
      <c r="C1570" s="53"/>
    </row>
    <row r="1571" spans="2:3" x14ac:dyDescent="0.25">
      <c r="B1571" s="53"/>
      <c r="C1571" s="53"/>
    </row>
    <row r="1572" spans="2:3" x14ac:dyDescent="0.25">
      <c r="B1572" s="53"/>
      <c r="C1572" s="53"/>
    </row>
    <row r="1573" spans="2:3" x14ac:dyDescent="0.25">
      <c r="B1573" s="53"/>
      <c r="C1573" s="53"/>
    </row>
    <row r="1574" spans="2:3" x14ac:dyDescent="0.25">
      <c r="B1574" s="53"/>
      <c r="C1574" s="53"/>
    </row>
    <row r="1575" spans="2:3" x14ac:dyDescent="0.25">
      <c r="B1575" s="53"/>
      <c r="C1575" s="53"/>
    </row>
    <row r="1576" spans="2:3" x14ac:dyDescent="0.25">
      <c r="B1576" s="53"/>
      <c r="C1576" s="53"/>
    </row>
    <row r="1577" spans="2:3" x14ac:dyDescent="0.25">
      <c r="B1577" s="53"/>
      <c r="C1577" s="53"/>
    </row>
    <row r="1578" spans="2:3" x14ac:dyDescent="0.25">
      <c r="B1578" s="53"/>
      <c r="C1578" s="53"/>
    </row>
    <row r="1579" spans="2:3" x14ac:dyDescent="0.25">
      <c r="B1579" s="53"/>
      <c r="C1579" s="53"/>
    </row>
    <row r="1580" spans="2:3" x14ac:dyDescent="0.25">
      <c r="B1580" s="53"/>
      <c r="C1580" s="53"/>
    </row>
    <row r="1581" spans="2:3" x14ac:dyDescent="0.25">
      <c r="B1581" s="53"/>
      <c r="C1581" s="53"/>
    </row>
    <row r="1582" spans="2:3" x14ac:dyDescent="0.25">
      <c r="B1582" s="53"/>
      <c r="C1582" s="53"/>
    </row>
    <row r="1583" spans="2:3" x14ac:dyDescent="0.25">
      <c r="B1583" s="53"/>
      <c r="C1583" s="53"/>
    </row>
    <row r="1584" spans="2:3" x14ac:dyDescent="0.25">
      <c r="B1584" s="53"/>
      <c r="C1584" s="53"/>
    </row>
    <row r="1585" spans="2:3" x14ac:dyDescent="0.25">
      <c r="B1585" s="53"/>
      <c r="C1585" s="53"/>
    </row>
    <row r="1586" spans="2:3" x14ac:dyDescent="0.25">
      <c r="B1586" s="53"/>
      <c r="C1586" s="53"/>
    </row>
    <row r="1587" spans="2:3" x14ac:dyDescent="0.25">
      <c r="B1587" s="53"/>
      <c r="C1587" s="53"/>
    </row>
    <row r="1588" spans="2:3" x14ac:dyDescent="0.25">
      <c r="B1588" s="53"/>
      <c r="C1588" s="53"/>
    </row>
    <row r="1589" spans="2:3" x14ac:dyDescent="0.25">
      <c r="B1589" s="53"/>
      <c r="C1589" s="53"/>
    </row>
    <row r="1590" spans="2:3" x14ac:dyDescent="0.25">
      <c r="B1590" s="53"/>
      <c r="C1590" s="53"/>
    </row>
    <row r="1591" spans="2:3" x14ac:dyDescent="0.25">
      <c r="B1591" s="53"/>
      <c r="C1591" s="53"/>
    </row>
    <row r="1592" spans="2:3" x14ac:dyDescent="0.25">
      <c r="B1592" s="53"/>
      <c r="C1592" s="53"/>
    </row>
    <row r="1593" spans="2:3" x14ac:dyDescent="0.25">
      <c r="B1593" s="53"/>
      <c r="C1593" s="53"/>
    </row>
    <row r="1594" spans="2:3" x14ac:dyDescent="0.25">
      <c r="B1594" s="53"/>
      <c r="C1594" s="53"/>
    </row>
    <row r="1595" spans="2:3" x14ac:dyDescent="0.25">
      <c r="B1595" s="53"/>
      <c r="C1595" s="53"/>
    </row>
    <row r="1596" spans="2:3" x14ac:dyDescent="0.25">
      <c r="B1596" s="53"/>
      <c r="C1596" s="53"/>
    </row>
    <row r="1597" spans="2:3" x14ac:dyDescent="0.25">
      <c r="B1597" s="53"/>
      <c r="C1597" s="53"/>
    </row>
    <row r="1598" spans="2:3" x14ac:dyDescent="0.25">
      <c r="B1598" s="53"/>
      <c r="C1598" s="53"/>
    </row>
    <row r="1599" spans="2:3" x14ac:dyDescent="0.25">
      <c r="B1599" s="53"/>
      <c r="C1599" s="53"/>
    </row>
    <row r="1600" spans="2:3" x14ac:dyDescent="0.25">
      <c r="B1600" s="53"/>
      <c r="C1600" s="53"/>
    </row>
    <row r="1601" spans="2:3" x14ac:dyDescent="0.25">
      <c r="B1601" s="53"/>
      <c r="C1601" s="53"/>
    </row>
    <row r="1602" spans="2:3" x14ac:dyDescent="0.25">
      <c r="B1602" s="53"/>
      <c r="C1602" s="53"/>
    </row>
    <row r="1603" spans="2:3" x14ac:dyDescent="0.25">
      <c r="B1603" s="53"/>
      <c r="C1603" s="53"/>
    </row>
    <row r="1604" spans="2:3" x14ac:dyDescent="0.25">
      <c r="B1604" s="53"/>
      <c r="C1604" s="53"/>
    </row>
    <row r="1605" spans="2:3" x14ac:dyDescent="0.25">
      <c r="B1605" s="53"/>
      <c r="C1605" s="53"/>
    </row>
    <row r="1606" spans="2:3" x14ac:dyDescent="0.25">
      <c r="B1606" s="53"/>
      <c r="C1606" s="53"/>
    </row>
    <row r="1607" spans="2:3" x14ac:dyDescent="0.25">
      <c r="B1607" s="53"/>
      <c r="C1607" s="53"/>
    </row>
    <row r="1608" spans="2:3" x14ac:dyDescent="0.25">
      <c r="B1608" s="53"/>
      <c r="C1608" s="53"/>
    </row>
    <row r="1609" spans="2:3" x14ac:dyDescent="0.25">
      <c r="B1609" s="53"/>
      <c r="C1609" s="53"/>
    </row>
    <row r="1610" spans="2:3" x14ac:dyDescent="0.25">
      <c r="B1610" s="53"/>
      <c r="C1610" s="53"/>
    </row>
    <row r="1611" spans="2:3" x14ac:dyDescent="0.25">
      <c r="B1611" s="53"/>
      <c r="C1611" s="53"/>
    </row>
    <row r="1612" spans="2:3" x14ac:dyDescent="0.25">
      <c r="B1612" s="53"/>
      <c r="C1612" s="53"/>
    </row>
    <row r="1613" spans="2:3" x14ac:dyDescent="0.25">
      <c r="B1613" s="53"/>
      <c r="C1613" s="53"/>
    </row>
    <row r="1614" spans="2:3" x14ac:dyDescent="0.25">
      <c r="B1614" s="53"/>
      <c r="C1614" s="53"/>
    </row>
    <row r="1615" spans="2:3" x14ac:dyDescent="0.25">
      <c r="B1615" s="53"/>
      <c r="C1615" s="53"/>
    </row>
    <row r="1616" spans="2:3" x14ac:dyDescent="0.25">
      <c r="B1616" s="53"/>
      <c r="C1616" s="53"/>
    </row>
    <row r="1617" spans="2:3" x14ac:dyDescent="0.25">
      <c r="B1617" s="53"/>
      <c r="C1617" s="53"/>
    </row>
    <row r="1618" spans="2:3" x14ac:dyDescent="0.25">
      <c r="B1618" s="53"/>
      <c r="C1618" s="53"/>
    </row>
    <row r="1619" spans="2:3" x14ac:dyDescent="0.25">
      <c r="B1619" s="53"/>
      <c r="C1619" s="53"/>
    </row>
    <row r="1620" spans="2:3" x14ac:dyDescent="0.25">
      <c r="B1620" s="53"/>
      <c r="C1620" s="53"/>
    </row>
    <row r="1621" spans="2:3" x14ac:dyDescent="0.25">
      <c r="B1621" s="53"/>
      <c r="C1621" s="53"/>
    </row>
    <row r="1622" spans="2:3" x14ac:dyDescent="0.25">
      <c r="B1622" s="53"/>
      <c r="C1622" s="53"/>
    </row>
    <row r="1623" spans="2:3" x14ac:dyDescent="0.25">
      <c r="B1623" s="53"/>
      <c r="C1623" s="53"/>
    </row>
    <row r="1624" spans="2:3" x14ac:dyDescent="0.25">
      <c r="B1624" s="53"/>
      <c r="C1624" s="53"/>
    </row>
    <row r="1625" spans="2:3" x14ac:dyDescent="0.25">
      <c r="B1625" s="53"/>
      <c r="C1625" s="53"/>
    </row>
    <row r="1626" spans="2:3" x14ac:dyDescent="0.25">
      <c r="B1626" s="53"/>
      <c r="C1626" s="53"/>
    </row>
    <row r="1627" spans="2:3" x14ac:dyDescent="0.25">
      <c r="B1627" s="53"/>
      <c r="C1627" s="53"/>
    </row>
    <row r="1628" spans="2:3" x14ac:dyDescent="0.25">
      <c r="B1628" s="53"/>
      <c r="C1628" s="53"/>
    </row>
    <row r="1629" spans="2:3" x14ac:dyDescent="0.25">
      <c r="B1629" s="53"/>
      <c r="C1629" s="53"/>
    </row>
    <row r="1630" spans="2:3" x14ac:dyDescent="0.25">
      <c r="B1630" s="53"/>
      <c r="C1630" s="53"/>
    </row>
    <row r="1631" spans="2:3" x14ac:dyDescent="0.25">
      <c r="B1631" s="53"/>
      <c r="C1631" s="53"/>
    </row>
    <row r="1632" spans="2:3" x14ac:dyDescent="0.25">
      <c r="B1632" s="53"/>
      <c r="C1632" s="53"/>
    </row>
    <row r="1633" spans="2:3" x14ac:dyDescent="0.25">
      <c r="B1633" s="53"/>
      <c r="C1633" s="53"/>
    </row>
    <row r="1634" spans="2:3" x14ac:dyDescent="0.25">
      <c r="B1634" s="53"/>
      <c r="C1634" s="53"/>
    </row>
    <row r="1635" spans="2:3" x14ac:dyDescent="0.25">
      <c r="B1635" s="53"/>
      <c r="C1635" s="53"/>
    </row>
    <row r="1636" spans="2:3" x14ac:dyDescent="0.25">
      <c r="B1636" s="53"/>
      <c r="C1636" s="53"/>
    </row>
    <row r="1637" spans="2:3" x14ac:dyDescent="0.25">
      <c r="B1637" s="53"/>
      <c r="C1637" s="53"/>
    </row>
    <row r="1638" spans="2:3" x14ac:dyDescent="0.25">
      <c r="B1638" s="53"/>
      <c r="C1638" s="53"/>
    </row>
    <row r="1639" spans="2:3" x14ac:dyDescent="0.25">
      <c r="B1639" s="53"/>
      <c r="C1639" s="53"/>
    </row>
    <row r="1640" spans="2:3" x14ac:dyDescent="0.25">
      <c r="B1640" s="53"/>
      <c r="C1640" s="53"/>
    </row>
    <row r="1641" spans="2:3" x14ac:dyDescent="0.25">
      <c r="B1641" s="53"/>
      <c r="C1641" s="53"/>
    </row>
    <row r="1642" spans="2:3" x14ac:dyDescent="0.25">
      <c r="B1642" s="53"/>
      <c r="C1642" s="53"/>
    </row>
    <row r="1643" spans="2:3" x14ac:dyDescent="0.25">
      <c r="B1643" s="53"/>
      <c r="C1643" s="53"/>
    </row>
    <row r="1644" spans="2:3" x14ac:dyDescent="0.25">
      <c r="B1644" s="53"/>
      <c r="C1644" s="53"/>
    </row>
    <row r="1645" spans="2:3" x14ac:dyDescent="0.25">
      <c r="B1645" s="53"/>
      <c r="C1645" s="53"/>
    </row>
    <row r="1646" spans="2:3" x14ac:dyDescent="0.25">
      <c r="B1646" s="53"/>
      <c r="C1646" s="53"/>
    </row>
    <row r="1647" spans="2:3" x14ac:dyDescent="0.25">
      <c r="B1647" s="53"/>
      <c r="C1647" s="53"/>
    </row>
    <row r="1648" spans="2:3" x14ac:dyDescent="0.25">
      <c r="B1648" s="53"/>
      <c r="C1648" s="53"/>
    </row>
    <row r="1649" spans="2:3" x14ac:dyDescent="0.25">
      <c r="B1649" s="53"/>
      <c r="C1649" s="53"/>
    </row>
    <row r="1650" spans="2:3" x14ac:dyDescent="0.25">
      <c r="B1650" s="53"/>
      <c r="C1650" s="53"/>
    </row>
    <row r="1651" spans="2:3" x14ac:dyDescent="0.25">
      <c r="B1651" s="53"/>
      <c r="C1651" s="53"/>
    </row>
    <row r="1652" spans="2:3" x14ac:dyDescent="0.25">
      <c r="B1652" s="53"/>
      <c r="C1652" s="53"/>
    </row>
    <row r="1653" spans="2:3" x14ac:dyDescent="0.25">
      <c r="B1653" s="53"/>
      <c r="C1653" s="53"/>
    </row>
    <row r="1654" spans="2:3" x14ac:dyDescent="0.25">
      <c r="B1654" s="53"/>
      <c r="C1654" s="53"/>
    </row>
    <row r="1655" spans="2:3" x14ac:dyDescent="0.25">
      <c r="B1655" s="53"/>
      <c r="C1655" s="53"/>
    </row>
    <row r="1656" spans="2:3" x14ac:dyDescent="0.25">
      <c r="B1656" s="53"/>
      <c r="C1656" s="53"/>
    </row>
    <row r="1657" spans="2:3" x14ac:dyDescent="0.25">
      <c r="B1657" s="53"/>
      <c r="C1657" s="53"/>
    </row>
    <row r="1658" spans="2:3" x14ac:dyDescent="0.25">
      <c r="B1658" s="53"/>
      <c r="C1658" s="53"/>
    </row>
    <row r="1659" spans="2:3" x14ac:dyDescent="0.25">
      <c r="B1659" s="53"/>
      <c r="C1659" s="53"/>
    </row>
    <row r="1660" spans="2:3" x14ac:dyDescent="0.25">
      <c r="B1660" s="53"/>
      <c r="C1660" s="53"/>
    </row>
    <row r="1661" spans="2:3" x14ac:dyDescent="0.25">
      <c r="B1661" s="53"/>
      <c r="C1661" s="53"/>
    </row>
    <row r="1662" spans="2:3" x14ac:dyDescent="0.25">
      <c r="B1662" s="53"/>
      <c r="C1662" s="53"/>
    </row>
    <row r="1663" spans="2:3" x14ac:dyDescent="0.25">
      <c r="B1663" s="53"/>
      <c r="C1663" s="53"/>
    </row>
    <row r="1664" spans="2:3" x14ac:dyDescent="0.25">
      <c r="B1664" s="53"/>
      <c r="C1664" s="53"/>
    </row>
    <row r="1665" spans="2:3" x14ac:dyDescent="0.25">
      <c r="B1665" s="53"/>
      <c r="C1665" s="53"/>
    </row>
    <row r="1666" spans="2:3" x14ac:dyDescent="0.25">
      <c r="B1666" s="53"/>
      <c r="C1666" s="53"/>
    </row>
    <row r="1667" spans="2:3" x14ac:dyDescent="0.25">
      <c r="B1667" s="53"/>
      <c r="C1667" s="53"/>
    </row>
    <row r="1668" spans="2:3" x14ac:dyDescent="0.25">
      <c r="B1668" s="53"/>
      <c r="C1668" s="53"/>
    </row>
    <row r="1669" spans="2:3" x14ac:dyDescent="0.25">
      <c r="B1669" s="53"/>
      <c r="C1669" s="53"/>
    </row>
    <row r="1670" spans="2:3" x14ac:dyDescent="0.25">
      <c r="B1670" s="53"/>
      <c r="C1670" s="53"/>
    </row>
    <row r="1671" spans="2:3" x14ac:dyDescent="0.25">
      <c r="B1671" s="53"/>
      <c r="C1671" s="53"/>
    </row>
    <row r="1672" spans="2:3" x14ac:dyDescent="0.25">
      <c r="B1672" s="53"/>
      <c r="C1672" s="53"/>
    </row>
    <row r="1673" spans="2:3" x14ac:dyDescent="0.25">
      <c r="B1673" s="53"/>
      <c r="C1673" s="53"/>
    </row>
    <row r="1674" spans="2:3" x14ac:dyDescent="0.25">
      <c r="B1674" s="53"/>
      <c r="C1674" s="53"/>
    </row>
    <row r="1675" spans="2:3" x14ac:dyDescent="0.25">
      <c r="B1675" s="53"/>
      <c r="C1675" s="53"/>
    </row>
    <row r="1676" spans="2:3" x14ac:dyDescent="0.25">
      <c r="B1676" s="53"/>
      <c r="C1676" s="53"/>
    </row>
    <row r="1677" spans="2:3" x14ac:dyDescent="0.25">
      <c r="B1677" s="53"/>
      <c r="C1677" s="53"/>
    </row>
    <row r="1678" spans="2:3" x14ac:dyDescent="0.25">
      <c r="B1678" s="53"/>
      <c r="C1678" s="53"/>
    </row>
    <row r="1679" spans="2:3" x14ac:dyDescent="0.25">
      <c r="B1679" s="53"/>
      <c r="C1679" s="53"/>
    </row>
    <row r="1680" spans="2:3" x14ac:dyDescent="0.25">
      <c r="B1680" s="53"/>
      <c r="C1680" s="53"/>
    </row>
    <row r="1681" spans="2:3" x14ac:dyDescent="0.25">
      <c r="B1681" s="53"/>
      <c r="C1681" s="53"/>
    </row>
    <row r="1682" spans="2:3" x14ac:dyDescent="0.25">
      <c r="B1682" s="53"/>
      <c r="C1682" s="53"/>
    </row>
    <row r="1683" spans="2:3" x14ac:dyDescent="0.25">
      <c r="B1683" s="53"/>
      <c r="C1683" s="53"/>
    </row>
    <row r="1684" spans="2:3" x14ac:dyDescent="0.25">
      <c r="B1684" s="53"/>
      <c r="C1684" s="53"/>
    </row>
    <row r="1685" spans="2:3" x14ac:dyDescent="0.25">
      <c r="B1685" s="53"/>
      <c r="C1685" s="53"/>
    </row>
    <row r="1686" spans="2:3" x14ac:dyDescent="0.25">
      <c r="B1686" s="53"/>
      <c r="C1686" s="53"/>
    </row>
    <row r="1687" spans="2:3" x14ac:dyDescent="0.25">
      <c r="B1687" s="53"/>
      <c r="C1687" s="53"/>
    </row>
    <row r="1688" spans="2:3" x14ac:dyDescent="0.25">
      <c r="B1688" s="53"/>
      <c r="C1688" s="53"/>
    </row>
    <row r="1689" spans="2:3" x14ac:dyDescent="0.25">
      <c r="B1689" s="53"/>
      <c r="C1689" s="53"/>
    </row>
    <row r="1690" spans="2:3" x14ac:dyDescent="0.25">
      <c r="B1690" s="53"/>
      <c r="C1690" s="53"/>
    </row>
    <row r="1691" spans="2:3" x14ac:dyDescent="0.25">
      <c r="B1691" s="53"/>
      <c r="C1691" s="53"/>
    </row>
    <row r="1692" spans="2:3" x14ac:dyDescent="0.25">
      <c r="B1692" s="53"/>
      <c r="C1692" s="53"/>
    </row>
    <row r="1693" spans="2:3" x14ac:dyDescent="0.25">
      <c r="B1693" s="53"/>
      <c r="C1693" s="53"/>
    </row>
    <row r="1694" spans="2:3" x14ac:dyDescent="0.25">
      <c r="B1694" s="53"/>
      <c r="C1694" s="53"/>
    </row>
    <row r="1695" spans="2:3" x14ac:dyDescent="0.25">
      <c r="B1695" s="53"/>
      <c r="C1695" s="53"/>
    </row>
    <row r="1696" spans="2:3" x14ac:dyDescent="0.25">
      <c r="B1696" s="53"/>
      <c r="C1696" s="53"/>
    </row>
    <row r="1697" spans="2:3" x14ac:dyDescent="0.25">
      <c r="B1697" s="53"/>
      <c r="C1697" s="53"/>
    </row>
    <row r="1698" spans="2:3" x14ac:dyDescent="0.25">
      <c r="B1698" s="53"/>
      <c r="C1698" s="53"/>
    </row>
    <row r="1699" spans="2:3" x14ac:dyDescent="0.25">
      <c r="B1699" s="53"/>
      <c r="C1699" s="53"/>
    </row>
    <row r="1700" spans="2:3" x14ac:dyDescent="0.25">
      <c r="B1700" s="53"/>
      <c r="C1700" s="53"/>
    </row>
    <row r="1701" spans="2:3" x14ac:dyDescent="0.25">
      <c r="B1701" s="53"/>
      <c r="C1701" s="53"/>
    </row>
    <row r="1702" spans="2:3" x14ac:dyDescent="0.25">
      <c r="B1702" s="53"/>
      <c r="C1702" s="53"/>
    </row>
    <row r="1703" spans="2:3" x14ac:dyDescent="0.25">
      <c r="B1703" s="53"/>
      <c r="C1703" s="53"/>
    </row>
    <row r="1704" spans="2:3" x14ac:dyDescent="0.25">
      <c r="B1704" s="53"/>
      <c r="C1704" s="53"/>
    </row>
    <row r="1705" spans="2:3" x14ac:dyDescent="0.25">
      <c r="B1705" s="53"/>
      <c r="C1705" s="53"/>
    </row>
    <row r="1706" spans="2:3" x14ac:dyDescent="0.25">
      <c r="B1706" s="53"/>
      <c r="C1706" s="53"/>
    </row>
    <row r="1707" spans="2:3" x14ac:dyDescent="0.25">
      <c r="B1707" s="53"/>
      <c r="C1707" s="53"/>
    </row>
    <row r="1708" spans="2:3" x14ac:dyDescent="0.25">
      <c r="B1708" s="53"/>
      <c r="C1708" s="53"/>
    </row>
    <row r="1709" spans="2:3" x14ac:dyDescent="0.25">
      <c r="B1709" s="53"/>
      <c r="C1709" s="53"/>
    </row>
    <row r="1710" spans="2:3" x14ac:dyDescent="0.25">
      <c r="B1710" s="53"/>
      <c r="C1710" s="53"/>
    </row>
    <row r="1711" spans="2:3" x14ac:dyDescent="0.25">
      <c r="B1711" s="53"/>
      <c r="C1711" s="53"/>
    </row>
    <row r="1712" spans="2:3" x14ac:dyDescent="0.25">
      <c r="B1712" s="53"/>
      <c r="C1712" s="53"/>
    </row>
    <row r="1713" spans="2:3" x14ac:dyDescent="0.25">
      <c r="B1713" s="53"/>
      <c r="C1713" s="53"/>
    </row>
    <row r="1714" spans="2:3" x14ac:dyDescent="0.25">
      <c r="B1714" s="53"/>
      <c r="C1714" s="53"/>
    </row>
    <row r="1715" spans="2:3" x14ac:dyDescent="0.25">
      <c r="B1715" s="53"/>
      <c r="C1715" s="53"/>
    </row>
    <row r="1716" spans="2:3" x14ac:dyDescent="0.25">
      <c r="B1716" s="53"/>
      <c r="C1716" s="53"/>
    </row>
    <row r="1717" spans="2:3" x14ac:dyDescent="0.25">
      <c r="B1717" s="53"/>
      <c r="C1717" s="53"/>
    </row>
    <row r="1718" spans="2:3" x14ac:dyDescent="0.25">
      <c r="B1718" s="53"/>
      <c r="C1718" s="53"/>
    </row>
    <row r="1719" spans="2:3" x14ac:dyDescent="0.25">
      <c r="B1719" s="53"/>
      <c r="C1719" s="53"/>
    </row>
    <row r="1720" spans="2:3" x14ac:dyDescent="0.25">
      <c r="B1720" s="53"/>
      <c r="C1720" s="53"/>
    </row>
    <row r="1721" spans="2:3" x14ac:dyDescent="0.25">
      <c r="B1721" s="53"/>
      <c r="C1721" s="53"/>
    </row>
    <row r="1722" spans="2:3" x14ac:dyDescent="0.25">
      <c r="B1722" s="53"/>
      <c r="C1722" s="53"/>
    </row>
    <row r="1723" spans="2:3" x14ac:dyDescent="0.25">
      <c r="B1723" s="53"/>
      <c r="C1723" s="53"/>
    </row>
    <row r="1724" spans="2:3" x14ac:dyDescent="0.25">
      <c r="B1724" s="53"/>
      <c r="C1724" s="53"/>
    </row>
    <row r="1725" spans="2:3" x14ac:dyDescent="0.25">
      <c r="B1725" s="53"/>
      <c r="C1725" s="53"/>
    </row>
    <row r="1726" spans="2:3" x14ac:dyDescent="0.25">
      <c r="B1726" s="53"/>
      <c r="C1726" s="53"/>
    </row>
    <row r="1727" spans="2:3" x14ac:dyDescent="0.25">
      <c r="B1727" s="53"/>
      <c r="C1727" s="53"/>
    </row>
    <row r="1728" spans="2:3" x14ac:dyDescent="0.25">
      <c r="B1728" s="53"/>
      <c r="C1728" s="53"/>
    </row>
    <row r="1729" spans="2:3" x14ac:dyDescent="0.25">
      <c r="B1729" s="53"/>
      <c r="C1729" s="53"/>
    </row>
    <row r="1730" spans="2:3" x14ac:dyDescent="0.25">
      <c r="B1730" s="53"/>
      <c r="C1730" s="53"/>
    </row>
    <row r="1731" spans="2:3" x14ac:dyDescent="0.25">
      <c r="B1731" s="53"/>
      <c r="C1731" s="53"/>
    </row>
    <row r="1732" spans="2:3" x14ac:dyDescent="0.25">
      <c r="B1732" s="53"/>
      <c r="C1732" s="53"/>
    </row>
    <row r="1733" spans="2:3" x14ac:dyDescent="0.25">
      <c r="B1733" s="53"/>
      <c r="C1733" s="53"/>
    </row>
    <row r="1734" spans="2:3" x14ac:dyDescent="0.25">
      <c r="B1734" s="53"/>
      <c r="C1734" s="53"/>
    </row>
    <row r="1735" spans="2:3" x14ac:dyDescent="0.25">
      <c r="B1735" s="53"/>
      <c r="C1735" s="53"/>
    </row>
    <row r="1736" spans="2:3" x14ac:dyDescent="0.25">
      <c r="B1736" s="53"/>
      <c r="C1736" s="53"/>
    </row>
    <row r="1737" spans="2:3" x14ac:dyDescent="0.25">
      <c r="B1737" s="53"/>
      <c r="C1737" s="53"/>
    </row>
    <row r="1738" spans="2:3" x14ac:dyDescent="0.25">
      <c r="B1738" s="53"/>
      <c r="C1738" s="53"/>
    </row>
    <row r="1739" spans="2:3" x14ac:dyDescent="0.25">
      <c r="B1739" s="53"/>
      <c r="C1739" s="53"/>
    </row>
    <row r="1740" spans="2:3" x14ac:dyDescent="0.25">
      <c r="B1740" s="53"/>
      <c r="C1740" s="53"/>
    </row>
    <row r="1741" spans="2:3" x14ac:dyDescent="0.25">
      <c r="B1741" s="53"/>
      <c r="C1741" s="53"/>
    </row>
    <row r="1742" spans="2:3" x14ac:dyDescent="0.25">
      <c r="B1742" s="53"/>
      <c r="C1742" s="53"/>
    </row>
    <row r="1743" spans="2:3" x14ac:dyDescent="0.25">
      <c r="B1743" s="53"/>
      <c r="C1743" s="53"/>
    </row>
    <row r="1744" spans="2:3" x14ac:dyDescent="0.25">
      <c r="B1744" s="53"/>
      <c r="C1744" s="53"/>
    </row>
    <row r="1745" spans="2:3" x14ac:dyDescent="0.25">
      <c r="B1745" s="53"/>
      <c r="C1745" s="53"/>
    </row>
    <row r="1746" spans="2:3" x14ac:dyDescent="0.25">
      <c r="B1746" s="53"/>
      <c r="C1746" s="53"/>
    </row>
    <row r="1747" spans="2:3" x14ac:dyDescent="0.25">
      <c r="B1747" s="53"/>
      <c r="C1747" s="53"/>
    </row>
    <row r="1748" spans="2:3" x14ac:dyDescent="0.25">
      <c r="B1748" s="53"/>
      <c r="C1748" s="53"/>
    </row>
    <row r="1749" spans="2:3" x14ac:dyDescent="0.25">
      <c r="B1749" s="53"/>
      <c r="C1749" s="53"/>
    </row>
    <row r="1750" spans="2:3" x14ac:dyDescent="0.25">
      <c r="B1750" s="53"/>
      <c r="C1750" s="53"/>
    </row>
    <row r="1751" spans="2:3" x14ac:dyDescent="0.25">
      <c r="B1751" s="53"/>
      <c r="C1751" s="53"/>
    </row>
    <row r="1752" spans="2:3" x14ac:dyDescent="0.25">
      <c r="B1752" s="53"/>
      <c r="C1752" s="53"/>
    </row>
    <row r="1753" spans="2:3" x14ac:dyDescent="0.25">
      <c r="B1753" s="53"/>
      <c r="C1753" s="53"/>
    </row>
    <row r="1754" spans="2:3" x14ac:dyDescent="0.25">
      <c r="B1754" s="53"/>
      <c r="C1754" s="53"/>
    </row>
    <row r="1755" spans="2:3" x14ac:dyDescent="0.25">
      <c r="B1755" s="53"/>
      <c r="C1755" s="53"/>
    </row>
    <row r="1756" spans="2:3" x14ac:dyDescent="0.25">
      <c r="B1756" s="53"/>
      <c r="C1756" s="53"/>
    </row>
    <row r="1757" spans="2:3" x14ac:dyDescent="0.25">
      <c r="B1757" s="53"/>
      <c r="C1757" s="53"/>
    </row>
    <row r="1758" spans="2:3" x14ac:dyDescent="0.25">
      <c r="B1758" s="53"/>
      <c r="C1758" s="53"/>
    </row>
    <row r="1759" spans="2:3" x14ac:dyDescent="0.25">
      <c r="B1759" s="53"/>
      <c r="C1759" s="53"/>
    </row>
    <row r="1760" spans="2:3" x14ac:dyDescent="0.25">
      <c r="B1760" s="53"/>
      <c r="C1760" s="53"/>
    </row>
    <row r="1761" spans="2:3" x14ac:dyDescent="0.25">
      <c r="B1761" s="53"/>
      <c r="C1761" s="53"/>
    </row>
    <row r="1762" spans="2:3" x14ac:dyDescent="0.25">
      <c r="B1762" s="53"/>
      <c r="C1762" s="53"/>
    </row>
    <row r="1763" spans="2:3" x14ac:dyDescent="0.25">
      <c r="B1763" s="53"/>
      <c r="C1763" s="53"/>
    </row>
    <row r="1764" spans="2:3" x14ac:dyDescent="0.25">
      <c r="B1764" s="53"/>
      <c r="C1764" s="53"/>
    </row>
    <row r="1765" spans="2:3" x14ac:dyDescent="0.25">
      <c r="B1765" s="53"/>
      <c r="C1765" s="53"/>
    </row>
    <row r="1766" spans="2:3" x14ac:dyDescent="0.25">
      <c r="B1766" s="53"/>
      <c r="C1766" s="53"/>
    </row>
    <row r="1767" spans="2:3" x14ac:dyDescent="0.25">
      <c r="B1767" s="53"/>
      <c r="C1767" s="53"/>
    </row>
    <row r="1768" spans="2:3" x14ac:dyDescent="0.25">
      <c r="B1768" s="53"/>
      <c r="C1768" s="53"/>
    </row>
    <row r="1769" spans="2:3" x14ac:dyDescent="0.25">
      <c r="B1769" s="53"/>
      <c r="C1769" s="53"/>
    </row>
    <row r="1770" spans="2:3" x14ac:dyDescent="0.25">
      <c r="B1770" s="53"/>
      <c r="C1770" s="53"/>
    </row>
    <row r="1771" spans="2:3" x14ac:dyDescent="0.25">
      <c r="B1771" s="53"/>
      <c r="C1771" s="53"/>
    </row>
    <row r="1772" spans="2:3" x14ac:dyDescent="0.25">
      <c r="B1772" s="53"/>
      <c r="C1772" s="53"/>
    </row>
    <row r="1773" spans="2:3" x14ac:dyDescent="0.25">
      <c r="B1773" s="53"/>
      <c r="C1773" s="53"/>
    </row>
    <row r="1774" spans="2:3" x14ac:dyDescent="0.25">
      <c r="B1774" s="53"/>
      <c r="C1774" s="53"/>
    </row>
    <row r="1775" spans="2:3" x14ac:dyDescent="0.25">
      <c r="B1775" s="53"/>
      <c r="C1775" s="53"/>
    </row>
    <row r="1776" spans="2:3" x14ac:dyDescent="0.25">
      <c r="B1776" s="53"/>
      <c r="C1776" s="53"/>
    </row>
    <row r="1777" spans="2:3" x14ac:dyDescent="0.25">
      <c r="B1777" s="53"/>
      <c r="C1777" s="53"/>
    </row>
    <row r="1778" spans="2:3" x14ac:dyDescent="0.25">
      <c r="B1778" s="53"/>
      <c r="C1778" s="53"/>
    </row>
    <row r="1779" spans="2:3" x14ac:dyDescent="0.25">
      <c r="B1779" s="53"/>
      <c r="C1779" s="53"/>
    </row>
    <row r="1780" spans="2:3" x14ac:dyDescent="0.25">
      <c r="B1780" s="53"/>
      <c r="C1780" s="53"/>
    </row>
    <row r="1781" spans="2:3" x14ac:dyDescent="0.25">
      <c r="B1781" s="53"/>
      <c r="C1781" s="53"/>
    </row>
    <row r="1782" spans="2:3" x14ac:dyDescent="0.25">
      <c r="B1782" s="53"/>
      <c r="C1782" s="53"/>
    </row>
    <row r="1783" spans="2:3" x14ac:dyDescent="0.25">
      <c r="B1783" s="53"/>
      <c r="C1783" s="53"/>
    </row>
    <row r="1784" spans="2:3" x14ac:dyDescent="0.25">
      <c r="B1784" s="53"/>
      <c r="C1784" s="53"/>
    </row>
    <row r="1785" spans="2:3" x14ac:dyDescent="0.25">
      <c r="B1785" s="53"/>
      <c r="C1785" s="53"/>
    </row>
    <row r="1786" spans="2:3" x14ac:dyDescent="0.25">
      <c r="B1786" s="53"/>
      <c r="C1786" s="53"/>
    </row>
    <row r="1787" spans="2:3" x14ac:dyDescent="0.25">
      <c r="B1787" s="53"/>
      <c r="C1787" s="53"/>
    </row>
    <row r="1788" spans="2:3" x14ac:dyDescent="0.25">
      <c r="B1788" s="53"/>
      <c r="C1788" s="53"/>
    </row>
    <row r="1789" spans="2:3" x14ac:dyDescent="0.25">
      <c r="B1789" s="53"/>
      <c r="C1789" s="53"/>
    </row>
    <row r="1790" spans="2:3" x14ac:dyDescent="0.25">
      <c r="B1790" s="53"/>
      <c r="C1790" s="53"/>
    </row>
    <row r="1791" spans="2:3" x14ac:dyDescent="0.25">
      <c r="B1791" s="53"/>
      <c r="C1791" s="53"/>
    </row>
    <row r="1792" spans="2:3" x14ac:dyDescent="0.25">
      <c r="B1792" s="53"/>
      <c r="C1792" s="53"/>
    </row>
    <row r="1793" spans="2:3" x14ac:dyDescent="0.25">
      <c r="B1793" s="53"/>
      <c r="C1793" s="53"/>
    </row>
    <row r="1794" spans="2:3" x14ac:dyDescent="0.25">
      <c r="B1794" s="53"/>
      <c r="C1794" s="53"/>
    </row>
    <row r="1795" spans="2:3" x14ac:dyDescent="0.25">
      <c r="B1795" s="53"/>
      <c r="C1795" s="53"/>
    </row>
    <row r="1796" spans="2:3" x14ac:dyDescent="0.25">
      <c r="B1796" s="53"/>
      <c r="C1796" s="53"/>
    </row>
    <row r="1797" spans="2:3" x14ac:dyDescent="0.25">
      <c r="B1797" s="53"/>
      <c r="C1797" s="53"/>
    </row>
    <row r="1798" spans="2:3" x14ac:dyDescent="0.25">
      <c r="B1798" s="53"/>
      <c r="C1798" s="53"/>
    </row>
    <row r="1799" spans="2:3" x14ac:dyDescent="0.25">
      <c r="B1799" s="53"/>
      <c r="C1799" s="53"/>
    </row>
    <row r="1800" spans="2:3" x14ac:dyDescent="0.25">
      <c r="B1800" s="53"/>
      <c r="C1800" s="53"/>
    </row>
    <row r="1801" spans="2:3" x14ac:dyDescent="0.25">
      <c r="B1801" s="53"/>
      <c r="C1801" s="53"/>
    </row>
    <row r="1802" spans="2:3" x14ac:dyDescent="0.25">
      <c r="B1802" s="53"/>
      <c r="C1802" s="53"/>
    </row>
    <row r="1803" spans="2:3" x14ac:dyDescent="0.25">
      <c r="B1803" s="53"/>
      <c r="C1803" s="53"/>
    </row>
    <row r="1804" spans="2:3" x14ac:dyDescent="0.25">
      <c r="B1804" s="53"/>
      <c r="C1804" s="53"/>
    </row>
    <row r="1805" spans="2:3" x14ac:dyDescent="0.25">
      <c r="B1805" s="53"/>
      <c r="C1805" s="53"/>
    </row>
    <row r="1806" spans="2:3" x14ac:dyDescent="0.25">
      <c r="B1806" s="53"/>
      <c r="C1806" s="53"/>
    </row>
    <row r="1807" spans="2:3" x14ac:dyDescent="0.25">
      <c r="B1807" s="53"/>
      <c r="C1807" s="53"/>
    </row>
    <row r="1808" spans="2:3" x14ac:dyDescent="0.25">
      <c r="B1808" s="53"/>
      <c r="C1808" s="53"/>
    </row>
    <row r="1809" spans="2:3" x14ac:dyDescent="0.25">
      <c r="B1809" s="53"/>
      <c r="C1809" s="53"/>
    </row>
    <row r="1810" spans="2:3" x14ac:dyDescent="0.25">
      <c r="B1810" s="53"/>
      <c r="C1810" s="53"/>
    </row>
    <row r="1811" spans="2:3" x14ac:dyDescent="0.25">
      <c r="B1811" s="53"/>
      <c r="C1811" s="53"/>
    </row>
    <row r="1812" spans="2:3" x14ac:dyDescent="0.25">
      <c r="B1812" s="53"/>
      <c r="C1812" s="53"/>
    </row>
    <row r="1813" spans="2:3" x14ac:dyDescent="0.25">
      <c r="B1813" s="53"/>
      <c r="C1813" s="53"/>
    </row>
    <row r="1814" spans="2:3" x14ac:dyDescent="0.25">
      <c r="B1814" s="53"/>
      <c r="C1814" s="53"/>
    </row>
    <row r="1815" spans="2:3" x14ac:dyDescent="0.25">
      <c r="B1815" s="53"/>
      <c r="C1815" s="53"/>
    </row>
    <row r="1816" spans="2:3" x14ac:dyDescent="0.25">
      <c r="B1816" s="53"/>
      <c r="C1816" s="53"/>
    </row>
    <row r="1817" spans="2:3" x14ac:dyDescent="0.25">
      <c r="B1817" s="53"/>
      <c r="C1817" s="53"/>
    </row>
    <row r="1818" spans="2:3" x14ac:dyDescent="0.25">
      <c r="B1818" s="53"/>
      <c r="C1818" s="53"/>
    </row>
    <row r="1819" spans="2:3" x14ac:dyDescent="0.25">
      <c r="B1819" s="53"/>
      <c r="C1819" s="53"/>
    </row>
    <row r="1820" spans="2:3" x14ac:dyDescent="0.25">
      <c r="B1820" s="53"/>
      <c r="C1820" s="53"/>
    </row>
    <row r="1821" spans="2:3" x14ac:dyDescent="0.25">
      <c r="B1821" s="53"/>
      <c r="C1821" s="53"/>
    </row>
    <row r="1822" spans="2:3" x14ac:dyDescent="0.25">
      <c r="B1822" s="53"/>
      <c r="C1822" s="53"/>
    </row>
    <row r="1823" spans="2:3" x14ac:dyDescent="0.25">
      <c r="B1823" s="53"/>
      <c r="C1823" s="53"/>
    </row>
    <row r="1824" spans="2:3" x14ac:dyDescent="0.25">
      <c r="B1824" s="53"/>
      <c r="C1824" s="53"/>
    </row>
    <row r="1825" spans="2:3" x14ac:dyDescent="0.25">
      <c r="B1825" s="53"/>
      <c r="C1825" s="53"/>
    </row>
    <row r="1826" spans="2:3" x14ac:dyDescent="0.25">
      <c r="B1826" s="53"/>
      <c r="C1826" s="53"/>
    </row>
    <row r="1827" spans="2:3" x14ac:dyDescent="0.25">
      <c r="B1827" s="53"/>
      <c r="C1827" s="53"/>
    </row>
    <row r="1828" spans="2:3" x14ac:dyDescent="0.25">
      <c r="B1828" s="53"/>
      <c r="C1828" s="53"/>
    </row>
    <row r="1829" spans="2:3" x14ac:dyDescent="0.25">
      <c r="B1829" s="53"/>
      <c r="C1829" s="53"/>
    </row>
    <row r="1830" spans="2:3" x14ac:dyDescent="0.25">
      <c r="B1830" s="53"/>
      <c r="C1830" s="53"/>
    </row>
    <row r="1831" spans="2:3" x14ac:dyDescent="0.25">
      <c r="B1831" s="53"/>
      <c r="C1831" s="53"/>
    </row>
    <row r="1832" spans="2:3" x14ac:dyDescent="0.25">
      <c r="B1832" s="53"/>
      <c r="C1832" s="53"/>
    </row>
    <row r="1833" spans="2:3" x14ac:dyDescent="0.25">
      <c r="B1833" s="53"/>
      <c r="C1833" s="53"/>
    </row>
    <row r="1834" spans="2:3" x14ac:dyDescent="0.25">
      <c r="B1834" s="53"/>
      <c r="C1834" s="53"/>
    </row>
    <row r="1835" spans="2:3" x14ac:dyDescent="0.25">
      <c r="B1835" s="53"/>
      <c r="C1835" s="53"/>
    </row>
    <row r="1836" spans="2:3" x14ac:dyDescent="0.25">
      <c r="B1836" s="53"/>
      <c r="C1836" s="53"/>
    </row>
    <row r="1837" spans="2:3" x14ac:dyDescent="0.25">
      <c r="B1837" s="53"/>
      <c r="C1837" s="53"/>
    </row>
    <row r="1838" spans="2:3" x14ac:dyDescent="0.25">
      <c r="B1838" s="53"/>
      <c r="C1838" s="53"/>
    </row>
    <row r="1839" spans="2:3" x14ac:dyDescent="0.25">
      <c r="B1839" s="53"/>
      <c r="C1839" s="53"/>
    </row>
    <row r="1840" spans="2:3" x14ac:dyDescent="0.25">
      <c r="B1840" s="53"/>
      <c r="C1840" s="53"/>
    </row>
    <row r="1841" spans="2:3" x14ac:dyDescent="0.25">
      <c r="B1841" s="53"/>
      <c r="C1841" s="53"/>
    </row>
    <row r="1842" spans="2:3" x14ac:dyDescent="0.25">
      <c r="B1842" s="53"/>
      <c r="C1842" s="53"/>
    </row>
    <row r="1843" spans="2:3" x14ac:dyDescent="0.25">
      <c r="B1843" s="53"/>
      <c r="C1843" s="53"/>
    </row>
    <row r="1844" spans="2:3" x14ac:dyDescent="0.25">
      <c r="B1844" s="53"/>
      <c r="C1844" s="53"/>
    </row>
    <row r="1845" spans="2:3" x14ac:dyDescent="0.25">
      <c r="B1845" s="53"/>
      <c r="C1845" s="53"/>
    </row>
    <row r="1846" spans="2:3" x14ac:dyDescent="0.25">
      <c r="B1846" s="53"/>
      <c r="C1846" s="53"/>
    </row>
    <row r="1847" spans="2:3" x14ac:dyDescent="0.25">
      <c r="B1847" s="53"/>
      <c r="C1847" s="53"/>
    </row>
    <row r="1848" spans="2:3" x14ac:dyDescent="0.25">
      <c r="B1848" s="53"/>
      <c r="C1848" s="53"/>
    </row>
    <row r="1849" spans="2:3" x14ac:dyDescent="0.25">
      <c r="B1849" s="53"/>
      <c r="C1849" s="53"/>
    </row>
    <row r="1850" spans="2:3" x14ac:dyDescent="0.25">
      <c r="B1850" s="53"/>
      <c r="C1850" s="53"/>
    </row>
    <row r="1851" spans="2:3" x14ac:dyDescent="0.25">
      <c r="B1851" s="53"/>
      <c r="C1851" s="53"/>
    </row>
    <row r="1852" spans="2:3" x14ac:dyDescent="0.25">
      <c r="B1852" s="53"/>
      <c r="C1852" s="53"/>
    </row>
    <row r="1853" spans="2:3" x14ac:dyDescent="0.25">
      <c r="B1853" s="53"/>
      <c r="C1853" s="53"/>
    </row>
    <row r="1854" spans="2:3" x14ac:dyDescent="0.25">
      <c r="B1854" s="53"/>
      <c r="C1854" s="53"/>
    </row>
    <row r="1855" spans="2:3" x14ac:dyDescent="0.25">
      <c r="B1855" s="53"/>
      <c r="C1855" s="53"/>
    </row>
    <row r="1856" spans="2:3" x14ac:dyDescent="0.25">
      <c r="B1856" s="53"/>
      <c r="C1856" s="53"/>
    </row>
    <row r="1857" spans="2:3" x14ac:dyDescent="0.25">
      <c r="B1857" s="53"/>
      <c r="C1857" s="53"/>
    </row>
    <row r="1858" spans="2:3" x14ac:dyDescent="0.25">
      <c r="B1858" s="53"/>
      <c r="C1858" s="53"/>
    </row>
    <row r="1859" spans="2:3" x14ac:dyDescent="0.25">
      <c r="B1859" s="53"/>
      <c r="C1859" s="53"/>
    </row>
    <row r="1860" spans="2:3" x14ac:dyDescent="0.25">
      <c r="B1860" s="53"/>
      <c r="C1860" s="53"/>
    </row>
    <row r="1861" spans="2:3" x14ac:dyDescent="0.25">
      <c r="B1861" s="53"/>
      <c r="C1861" s="53"/>
    </row>
    <row r="1862" spans="2:3" x14ac:dyDescent="0.25">
      <c r="B1862" s="53"/>
      <c r="C1862" s="53"/>
    </row>
    <row r="1863" spans="2:3" x14ac:dyDescent="0.25">
      <c r="B1863" s="53"/>
      <c r="C1863" s="53"/>
    </row>
    <row r="1864" spans="2:3" x14ac:dyDescent="0.25">
      <c r="B1864" s="53"/>
      <c r="C1864" s="53"/>
    </row>
    <row r="1865" spans="2:3" x14ac:dyDescent="0.25">
      <c r="B1865" s="53"/>
      <c r="C1865" s="53"/>
    </row>
    <row r="1866" spans="2:3" x14ac:dyDescent="0.25">
      <c r="B1866" s="53"/>
      <c r="C1866" s="53"/>
    </row>
    <row r="1867" spans="2:3" x14ac:dyDescent="0.25">
      <c r="B1867" s="53"/>
      <c r="C1867" s="53"/>
    </row>
    <row r="1868" spans="2:3" x14ac:dyDescent="0.25">
      <c r="B1868" s="53"/>
      <c r="C1868" s="53"/>
    </row>
    <row r="1869" spans="2:3" x14ac:dyDescent="0.25">
      <c r="B1869" s="53"/>
      <c r="C1869" s="53"/>
    </row>
    <row r="1870" spans="2:3" x14ac:dyDescent="0.25">
      <c r="B1870" s="53"/>
      <c r="C1870" s="53"/>
    </row>
    <row r="1871" spans="2:3" x14ac:dyDescent="0.25">
      <c r="B1871" s="53"/>
      <c r="C1871" s="53"/>
    </row>
    <row r="1872" spans="2:3" x14ac:dyDescent="0.25">
      <c r="B1872" s="53"/>
      <c r="C1872" s="53"/>
    </row>
    <row r="1873" spans="2:3" x14ac:dyDescent="0.25">
      <c r="B1873" s="53"/>
      <c r="C1873" s="53"/>
    </row>
    <row r="1874" spans="2:3" x14ac:dyDescent="0.25">
      <c r="B1874" s="53"/>
      <c r="C1874" s="53"/>
    </row>
    <row r="1875" spans="2:3" x14ac:dyDescent="0.25">
      <c r="B1875" s="53"/>
      <c r="C1875" s="53"/>
    </row>
    <row r="1876" spans="2:3" x14ac:dyDescent="0.25">
      <c r="B1876" s="53"/>
      <c r="C1876" s="53"/>
    </row>
    <row r="1877" spans="2:3" x14ac:dyDescent="0.25">
      <c r="B1877" s="53"/>
      <c r="C1877" s="53"/>
    </row>
    <row r="1878" spans="2:3" x14ac:dyDescent="0.25">
      <c r="B1878" s="53"/>
      <c r="C1878" s="53"/>
    </row>
    <row r="1879" spans="2:3" x14ac:dyDescent="0.25">
      <c r="B1879" s="53"/>
      <c r="C1879" s="53"/>
    </row>
    <row r="1880" spans="2:3" x14ac:dyDescent="0.25">
      <c r="B1880" s="53"/>
      <c r="C1880" s="53"/>
    </row>
    <row r="1881" spans="2:3" x14ac:dyDescent="0.25">
      <c r="B1881" s="53"/>
      <c r="C1881" s="53"/>
    </row>
    <row r="1882" spans="2:3" x14ac:dyDescent="0.25">
      <c r="B1882" s="53"/>
      <c r="C1882" s="53"/>
    </row>
    <row r="1883" spans="2:3" x14ac:dyDescent="0.25">
      <c r="B1883" s="53"/>
      <c r="C1883" s="53"/>
    </row>
    <row r="1884" spans="2:3" x14ac:dyDescent="0.25">
      <c r="B1884" s="53"/>
      <c r="C1884" s="53"/>
    </row>
    <row r="1885" spans="2:3" x14ac:dyDescent="0.25">
      <c r="B1885" s="53"/>
      <c r="C1885" s="53"/>
    </row>
    <row r="1886" spans="2:3" x14ac:dyDescent="0.25">
      <c r="B1886" s="53"/>
      <c r="C1886" s="53"/>
    </row>
    <row r="1887" spans="2:3" x14ac:dyDescent="0.25">
      <c r="B1887" s="53"/>
      <c r="C1887" s="53"/>
    </row>
    <row r="1888" spans="2:3" x14ac:dyDescent="0.25">
      <c r="B1888" s="53"/>
      <c r="C1888" s="53"/>
    </row>
    <row r="1889" spans="2:3" x14ac:dyDescent="0.25">
      <c r="B1889" s="53"/>
      <c r="C1889" s="53"/>
    </row>
    <row r="1890" spans="2:3" x14ac:dyDescent="0.25">
      <c r="B1890" s="53"/>
      <c r="C1890" s="53"/>
    </row>
    <row r="1891" spans="2:3" x14ac:dyDescent="0.25">
      <c r="B1891" s="53"/>
      <c r="C1891" s="53"/>
    </row>
    <row r="1892" spans="2:3" x14ac:dyDescent="0.25">
      <c r="B1892" s="53"/>
      <c r="C1892" s="53"/>
    </row>
    <row r="1893" spans="2:3" x14ac:dyDescent="0.25">
      <c r="B1893" s="53"/>
      <c r="C1893" s="53"/>
    </row>
    <row r="1894" spans="2:3" x14ac:dyDescent="0.25">
      <c r="B1894" s="53"/>
      <c r="C1894" s="53"/>
    </row>
    <row r="1895" spans="2:3" x14ac:dyDescent="0.25">
      <c r="B1895" s="53"/>
      <c r="C1895" s="53"/>
    </row>
    <row r="1896" spans="2:3" x14ac:dyDescent="0.25">
      <c r="B1896" s="53"/>
      <c r="C1896" s="53"/>
    </row>
    <row r="1897" spans="2:3" x14ac:dyDescent="0.25">
      <c r="B1897" s="53"/>
      <c r="C1897" s="53"/>
    </row>
    <row r="1898" spans="2:3" x14ac:dyDescent="0.25">
      <c r="B1898" s="53"/>
      <c r="C1898" s="53"/>
    </row>
    <row r="1899" spans="2:3" x14ac:dyDescent="0.25">
      <c r="B1899" s="53"/>
      <c r="C1899" s="53"/>
    </row>
    <row r="1900" spans="2:3" x14ac:dyDescent="0.25">
      <c r="B1900" s="53"/>
      <c r="C1900" s="53"/>
    </row>
    <row r="1901" spans="2:3" x14ac:dyDescent="0.25">
      <c r="B1901" s="53"/>
      <c r="C1901" s="53"/>
    </row>
    <row r="1902" spans="2:3" x14ac:dyDescent="0.25">
      <c r="B1902" s="53"/>
      <c r="C1902" s="53"/>
    </row>
    <row r="1903" spans="2:3" x14ac:dyDescent="0.25">
      <c r="B1903" s="53"/>
      <c r="C1903" s="53"/>
    </row>
    <row r="1904" spans="2:3" x14ac:dyDescent="0.25">
      <c r="B1904" s="53"/>
      <c r="C1904" s="53"/>
    </row>
    <row r="1905" spans="2:3" x14ac:dyDescent="0.25">
      <c r="B1905" s="53"/>
      <c r="C1905" s="53"/>
    </row>
    <row r="1906" spans="2:3" x14ac:dyDescent="0.25">
      <c r="B1906" s="53"/>
      <c r="C1906" s="53"/>
    </row>
    <row r="1907" spans="2:3" x14ac:dyDescent="0.25">
      <c r="B1907" s="53"/>
      <c r="C1907" s="53"/>
    </row>
    <row r="1908" spans="2:3" x14ac:dyDescent="0.25">
      <c r="B1908" s="53"/>
      <c r="C1908" s="53"/>
    </row>
    <row r="1909" spans="2:3" x14ac:dyDescent="0.25">
      <c r="B1909" s="53"/>
      <c r="C1909" s="53"/>
    </row>
    <row r="1910" spans="2:3" x14ac:dyDescent="0.25">
      <c r="B1910" s="53"/>
      <c r="C1910" s="53"/>
    </row>
    <row r="1911" spans="2:3" x14ac:dyDescent="0.25">
      <c r="B1911" s="53"/>
      <c r="C1911" s="53"/>
    </row>
    <row r="1912" spans="2:3" x14ac:dyDescent="0.25">
      <c r="B1912" s="53"/>
      <c r="C1912" s="53"/>
    </row>
    <row r="1913" spans="2:3" x14ac:dyDescent="0.25">
      <c r="B1913" s="53"/>
      <c r="C1913" s="53"/>
    </row>
    <row r="1914" spans="2:3" x14ac:dyDescent="0.25">
      <c r="B1914" s="53"/>
      <c r="C1914" s="53"/>
    </row>
    <row r="1915" spans="2:3" x14ac:dyDescent="0.25">
      <c r="B1915" s="53"/>
      <c r="C1915" s="53"/>
    </row>
    <row r="1916" spans="2:3" x14ac:dyDescent="0.25">
      <c r="B1916" s="53"/>
      <c r="C1916" s="53"/>
    </row>
    <row r="1917" spans="2:3" x14ac:dyDescent="0.25">
      <c r="B1917" s="53"/>
      <c r="C1917" s="53"/>
    </row>
    <row r="1918" spans="2:3" x14ac:dyDescent="0.25">
      <c r="B1918" s="53"/>
      <c r="C1918" s="53"/>
    </row>
    <row r="1919" spans="2:3" x14ac:dyDescent="0.25">
      <c r="B1919" s="53"/>
      <c r="C1919" s="53"/>
    </row>
    <row r="1920" spans="2:3" x14ac:dyDescent="0.25">
      <c r="B1920" s="53"/>
      <c r="C1920" s="53"/>
    </row>
    <row r="1921" spans="2:3" x14ac:dyDescent="0.25">
      <c r="B1921" s="53"/>
      <c r="C1921" s="53"/>
    </row>
    <row r="1922" spans="2:3" x14ac:dyDescent="0.25">
      <c r="B1922" s="53"/>
      <c r="C1922" s="53"/>
    </row>
    <row r="1923" spans="2:3" x14ac:dyDescent="0.25">
      <c r="B1923" s="53"/>
      <c r="C1923" s="53"/>
    </row>
    <row r="1924" spans="2:3" x14ac:dyDescent="0.25">
      <c r="B1924" s="53"/>
      <c r="C1924" s="53"/>
    </row>
    <row r="1925" spans="2:3" x14ac:dyDescent="0.25">
      <c r="B1925" s="53"/>
      <c r="C1925" s="53"/>
    </row>
    <row r="1926" spans="2:3" x14ac:dyDescent="0.25">
      <c r="B1926" s="53"/>
      <c r="C1926" s="53"/>
    </row>
    <row r="1927" spans="2:3" x14ac:dyDescent="0.25">
      <c r="B1927" s="53"/>
      <c r="C1927" s="53"/>
    </row>
    <row r="1928" spans="2:3" x14ac:dyDescent="0.25">
      <c r="B1928" s="53"/>
      <c r="C1928" s="53"/>
    </row>
    <row r="1929" spans="2:3" x14ac:dyDescent="0.25">
      <c r="B1929" s="53"/>
      <c r="C1929" s="53"/>
    </row>
    <row r="1930" spans="2:3" x14ac:dyDescent="0.25">
      <c r="B1930" s="53"/>
      <c r="C1930" s="53"/>
    </row>
    <row r="1931" spans="2:3" x14ac:dyDescent="0.25">
      <c r="B1931" s="53"/>
      <c r="C1931" s="53"/>
    </row>
    <row r="1932" spans="2:3" x14ac:dyDescent="0.25">
      <c r="B1932" s="53"/>
      <c r="C1932" s="53"/>
    </row>
    <row r="1933" spans="2:3" x14ac:dyDescent="0.25">
      <c r="B1933" s="53"/>
      <c r="C1933" s="53"/>
    </row>
    <row r="1934" spans="2:3" x14ac:dyDescent="0.25">
      <c r="B1934" s="53"/>
      <c r="C1934" s="53"/>
    </row>
    <row r="1935" spans="2:3" x14ac:dyDescent="0.25">
      <c r="B1935" s="53"/>
      <c r="C1935" s="53"/>
    </row>
    <row r="1936" spans="2:3" x14ac:dyDescent="0.25">
      <c r="B1936" s="53"/>
      <c r="C1936" s="53"/>
    </row>
    <row r="1937" spans="2:3" x14ac:dyDescent="0.25">
      <c r="B1937" s="53"/>
      <c r="C1937" s="53"/>
    </row>
    <row r="1938" spans="2:3" x14ac:dyDescent="0.25">
      <c r="B1938" s="53"/>
      <c r="C1938" s="53"/>
    </row>
    <row r="1939" spans="2:3" x14ac:dyDescent="0.25">
      <c r="B1939" s="53"/>
      <c r="C1939" s="53"/>
    </row>
    <row r="1940" spans="2:3" x14ac:dyDescent="0.25">
      <c r="B1940" s="53"/>
      <c r="C1940" s="53"/>
    </row>
    <row r="1941" spans="2:3" x14ac:dyDescent="0.25">
      <c r="B1941" s="53"/>
      <c r="C1941" s="53"/>
    </row>
    <row r="1942" spans="2:3" x14ac:dyDescent="0.25">
      <c r="B1942" s="53"/>
      <c r="C1942" s="53"/>
    </row>
    <row r="1943" spans="2:3" x14ac:dyDescent="0.25">
      <c r="B1943" s="53"/>
      <c r="C1943" s="53"/>
    </row>
    <row r="1944" spans="2:3" x14ac:dyDescent="0.25">
      <c r="B1944" s="53"/>
      <c r="C1944" s="53"/>
    </row>
    <row r="1945" spans="2:3" x14ac:dyDescent="0.25">
      <c r="B1945" s="53"/>
      <c r="C1945" s="53"/>
    </row>
    <row r="1946" spans="2:3" x14ac:dyDescent="0.25">
      <c r="B1946" s="53"/>
      <c r="C1946" s="53"/>
    </row>
    <row r="1947" spans="2:3" x14ac:dyDescent="0.25">
      <c r="B1947" s="53"/>
      <c r="C1947" s="53"/>
    </row>
    <row r="1948" spans="2:3" x14ac:dyDescent="0.25">
      <c r="B1948" s="53"/>
      <c r="C1948" s="53"/>
    </row>
    <row r="1949" spans="2:3" x14ac:dyDescent="0.25">
      <c r="B1949" s="53"/>
      <c r="C1949" s="53"/>
    </row>
    <row r="1950" spans="2:3" x14ac:dyDescent="0.25">
      <c r="B1950" s="53"/>
      <c r="C1950" s="53"/>
    </row>
    <row r="1951" spans="2:3" x14ac:dyDescent="0.25">
      <c r="B1951" s="53"/>
      <c r="C1951" s="53"/>
    </row>
    <row r="1952" spans="2:3" x14ac:dyDescent="0.25">
      <c r="B1952" s="53"/>
      <c r="C1952" s="53"/>
    </row>
    <row r="1953" spans="2:3" x14ac:dyDescent="0.25">
      <c r="B1953" s="53"/>
      <c r="C1953" s="53"/>
    </row>
    <row r="1954" spans="2:3" x14ac:dyDescent="0.25">
      <c r="B1954" s="53"/>
      <c r="C1954" s="53"/>
    </row>
    <row r="1955" spans="2:3" x14ac:dyDescent="0.25">
      <c r="B1955" s="53"/>
      <c r="C1955" s="53"/>
    </row>
    <row r="1956" spans="2:3" x14ac:dyDescent="0.25">
      <c r="B1956" s="53"/>
      <c r="C1956" s="53"/>
    </row>
    <row r="1957" spans="2:3" x14ac:dyDescent="0.25">
      <c r="B1957" s="53"/>
      <c r="C1957" s="53"/>
    </row>
    <row r="1958" spans="2:3" x14ac:dyDescent="0.25">
      <c r="B1958" s="53"/>
      <c r="C1958" s="53"/>
    </row>
    <row r="1959" spans="2:3" x14ac:dyDescent="0.25">
      <c r="B1959" s="53"/>
      <c r="C1959" s="53"/>
    </row>
    <row r="1960" spans="2:3" x14ac:dyDescent="0.25">
      <c r="B1960" s="53"/>
      <c r="C1960" s="53"/>
    </row>
    <row r="1961" spans="2:3" x14ac:dyDescent="0.25">
      <c r="B1961" s="53"/>
      <c r="C1961" s="53"/>
    </row>
    <row r="1962" spans="2:3" x14ac:dyDescent="0.25">
      <c r="B1962" s="53"/>
      <c r="C1962" s="53"/>
    </row>
    <row r="1963" spans="2:3" x14ac:dyDescent="0.25">
      <c r="B1963" s="53"/>
      <c r="C1963" s="53"/>
    </row>
    <row r="1964" spans="2:3" x14ac:dyDescent="0.25">
      <c r="B1964" s="53"/>
      <c r="C1964" s="53"/>
    </row>
    <row r="1965" spans="2:3" x14ac:dyDescent="0.25">
      <c r="B1965" s="53"/>
      <c r="C1965" s="53"/>
    </row>
    <row r="1966" spans="2:3" x14ac:dyDescent="0.25">
      <c r="B1966" s="53"/>
      <c r="C1966" s="53"/>
    </row>
    <row r="1967" spans="2:3" x14ac:dyDescent="0.25">
      <c r="B1967" s="53"/>
      <c r="C1967" s="53"/>
    </row>
    <row r="1968" spans="2:3" x14ac:dyDescent="0.25">
      <c r="B1968" s="53"/>
      <c r="C1968" s="53"/>
    </row>
    <row r="1969" spans="2:3" x14ac:dyDescent="0.25">
      <c r="B1969" s="53"/>
      <c r="C1969" s="53"/>
    </row>
    <row r="1970" spans="2:3" x14ac:dyDescent="0.25">
      <c r="B1970" s="53"/>
      <c r="C1970" s="53"/>
    </row>
    <row r="1971" spans="2:3" x14ac:dyDescent="0.25">
      <c r="B1971" s="53"/>
      <c r="C1971" s="53"/>
    </row>
    <row r="1972" spans="2:3" x14ac:dyDescent="0.25">
      <c r="B1972" s="53"/>
      <c r="C1972" s="53"/>
    </row>
    <row r="1973" spans="2:3" x14ac:dyDescent="0.25">
      <c r="B1973" s="53"/>
      <c r="C1973" s="53"/>
    </row>
    <row r="1974" spans="2:3" x14ac:dyDescent="0.25">
      <c r="B1974" s="53"/>
      <c r="C1974" s="53"/>
    </row>
    <row r="1975" spans="2:3" x14ac:dyDescent="0.25">
      <c r="B1975" s="53"/>
      <c r="C1975" s="53"/>
    </row>
    <row r="1976" spans="2:3" x14ac:dyDescent="0.25">
      <c r="B1976" s="53"/>
      <c r="C1976" s="53"/>
    </row>
    <row r="1977" spans="2:3" x14ac:dyDescent="0.25">
      <c r="B1977" s="53"/>
      <c r="C1977" s="53"/>
    </row>
    <row r="1978" spans="2:3" x14ac:dyDescent="0.25">
      <c r="B1978" s="53"/>
      <c r="C1978" s="53"/>
    </row>
    <row r="1979" spans="2:3" x14ac:dyDescent="0.25">
      <c r="B1979" s="53"/>
      <c r="C1979" s="53"/>
    </row>
    <row r="1980" spans="2:3" x14ac:dyDescent="0.25">
      <c r="B1980" s="53"/>
      <c r="C1980" s="53"/>
    </row>
    <row r="1981" spans="2:3" x14ac:dyDescent="0.25">
      <c r="B1981" s="53"/>
      <c r="C1981" s="53"/>
    </row>
    <row r="1982" spans="2:3" x14ac:dyDescent="0.25">
      <c r="B1982" s="53"/>
      <c r="C1982" s="53"/>
    </row>
    <row r="1983" spans="2:3" x14ac:dyDescent="0.25">
      <c r="B1983" s="53"/>
      <c r="C1983" s="53"/>
    </row>
    <row r="1984" spans="2:3" x14ac:dyDescent="0.25">
      <c r="B1984" s="53"/>
      <c r="C1984" s="53"/>
    </row>
    <row r="1985" spans="2:3" x14ac:dyDescent="0.25">
      <c r="B1985" s="53"/>
      <c r="C1985" s="53"/>
    </row>
    <row r="1986" spans="2:3" x14ac:dyDescent="0.25">
      <c r="B1986" s="53"/>
      <c r="C1986" s="53"/>
    </row>
    <row r="1987" spans="2:3" x14ac:dyDescent="0.25">
      <c r="B1987" s="53"/>
      <c r="C1987" s="53"/>
    </row>
    <row r="1988" spans="2:3" x14ac:dyDescent="0.25">
      <c r="B1988" s="53"/>
      <c r="C1988" s="53"/>
    </row>
    <row r="1989" spans="2:3" x14ac:dyDescent="0.25">
      <c r="B1989" s="53"/>
      <c r="C1989" s="53"/>
    </row>
    <row r="1990" spans="2:3" x14ac:dyDescent="0.25">
      <c r="B1990" s="53"/>
      <c r="C1990" s="53"/>
    </row>
    <row r="1991" spans="2:3" x14ac:dyDescent="0.25">
      <c r="B1991" s="53"/>
      <c r="C1991" s="53"/>
    </row>
    <row r="1992" spans="2:3" x14ac:dyDescent="0.25">
      <c r="B1992" s="53"/>
      <c r="C1992" s="53"/>
    </row>
    <row r="1993" spans="2:3" x14ac:dyDescent="0.25">
      <c r="B1993" s="53"/>
      <c r="C1993" s="53"/>
    </row>
    <row r="1994" spans="2:3" x14ac:dyDescent="0.25">
      <c r="B1994" s="53"/>
      <c r="C1994" s="53"/>
    </row>
    <row r="1995" spans="2:3" x14ac:dyDescent="0.25">
      <c r="B1995" s="53"/>
      <c r="C1995" s="53"/>
    </row>
    <row r="1996" spans="2:3" x14ac:dyDescent="0.25">
      <c r="B1996" s="53"/>
      <c r="C1996" s="53"/>
    </row>
    <row r="1997" spans="2:3" x14ac:dyDescent="0.25">
      <c r="B1997" s="53"/>
      <c r="C1997" s="53"/>
    </row>
    <row r="1998" spans="2:3" x14ac:dyDescent="0.25">
      <c r="B1998" s="53"/>
      <c r="C1998" s="53"/>
    </row>
    <row r="1999" spans="2:3" x14ac:dyDescent="0.25">
      <c r="B1999" s="53"/>
      <c r="C1999" s="53"/>
    </row>
    <row r="2000" spans="2:3" x14ac:dyDescent="0.25">
      <c r="B2000" s="53"/>
      <c r="C2000" s="53"/>
    </row>
    <row r="2001" spans="2:3" x14ac:dyDescent="0.25">
      <c r="B2001" s="53"/>
      <c r="C2001" s="53"/>
    </row>
    <row r="2002" spans="2:3" x14ac:dyDescent="0.25">
      <c r="B2002" s="53"/>
      <c r="C2002" s="53"/>
    </row>
    <row r="2003" spans="2:3" x14ac:dyDescent="0.25">
      <c r="B2003" s="53"/>
      <c r="C2003" s="53"/>
    </row>
    <row r="2004" spans="2:3" x14ac:dyDescent="0.25">
      <c r="B2004" s="53"/>
      <c r="C2004" s="53"/>
    </row>
    <row r="2005" spans="2:3" x14ac:dyDescent="0.25">
      <c r="B2005" s="53"/>
      <c r="C2005" s="53"/>
    </row>
    <row r="2006" spans="2:3" x14ac:dyDescent="0.25">
      <c r="B2006" s="53"/>
      <c r="C2006" s="53"/>
    </row>
    <row r="2007" spans="2:3" x14ac:dyDescent="0.25">
      <c r="B2007" s="53"/>
      <c r="C2007" s="53"/>
    </row>
    <row r="2008" spans="2:3" x14ac:dyDescent="0.25">
      <c r="B2008" s="53"/>
      <c r="C2008" s="53"/>
    </row>
    <row r="2009" spans="2:3" x14ac:dyDescent="0.25">
      <c r="B2009" s="53"/>
      <c r="C2009" s="53"/>
    </row>
    <row r="2010" spans="2:3" x14ac:dyDescent="0.25">
      <c r="B2010" s="53"/>
      <c r="C2010" s="53"/>
    </row>
    <row r="2011" spans="2:3" x14ac:dyDescent="0.25">
      <c r="B2011" s="53"/>
      <c r="C2011" s="53"/>
    </row>
    <row r="2012" spans="2:3" x14ac:dyDescent="0.25">
      <c r="B2012" s="53"/>
      <c r="C2012" s="53"/>
    </row>
    <row r="2013" spans="2:3" x14ac:dyDescent="0.25">
      <c r="B2013" s="53"/>
      <c r="C2013" s="53"/>
    </row>
    <row r="2014" spans="2:3" x14ac:dyDescent="0.25">
      <c r="B2014" s="53"/>
      <c r="C2014" s="53"/>
    </row>
    <row r="2015" spans="2:3" x14ac:dyDescent="0.25">
      <c r="B2015" s="53"/>
      <c r="C2015" s="53"/>
    </row>
    <row r="2016" spans="2:3" x14ac:dyDescent="0.25">
      <c r="B2016" s="53"/>
      <c r="C2016" s="53"/>
    </row>
    <row r="2017" spans="2:3" x14ac:dyDescent="0.25">
      <c r="B2017" s="53"/>
      <c r="C2017" s="53"/>
    </row>
    <row r="2018" spans="2:3" x14ac:dyDescent="0.25">
      <c r="B2018" s="53"/>
      <c r="C2018" s="53"/>
    </row>
    <row r="2019" spans="2:3" x14ac:dyDescent="0.25">
      <c r="B2019" s="53"/>
      <c r="C2019" s="53"/>
    </row>
    <row r="2020" spans="2:3" x14ac:dyDescent="0.25">
      <c r="B2020" s="53"/>
      <c r="C2020" s="53"/>
    </row>
    <row r="2021" spans="2:3" x14ac:dyDescent="0.25">
      <c r="B2021" s="53"/>
      <c r="C2021" s="53"/>
    </row>
    <row r="2022" spans="2:3" x14ac:dyDescent="0.25">
      <c r="B2022" s="53"/>
      <c r="C2022" s="53"/>
    </row>
    <row r="2023" spans="2:3" x14ac:dyDescent="0.25">
      <c r="B2023" s="53"/>
      <c r="C2023" s="53"/>
    </row>
    <row r="2024" spans="2:3" x14ac:dyDescent="0.25">
      <c r="B2024" s="53"/>
      <c r="C2024" s="53"/>
    </row>
    <row r="2025" spans="2:3" x14ac:dyDescent="0.25">
      <c r="B2025" s="53"/>
      <c r="C2025" s="53"/>
    </row>
    <row r="2026" spans="2:3" x14ac:dyDescent="0.25">
      <c r="B2026" s="53"/>
      <c r="C2026" s="53"/>
    </row>
    <row r="2027" spans="2:3" x14ac:dyDescent="0.25">
      <c r="B2027" s="53"/>
      <c r="C2027" s="53"/>
    </row>
    <row r="2028" spans="2:3" x14ac:dyDescent="0.25">
      <c r="B2028" s="53"/>
      <c r="C2028" s="53"/>
    </row>
    <row r="2029" spans="2:3" x14ac:dyDescent="0.25">
      <c r="B2029" s="53"/>
      <c r="C2029" s="53"/>
    </row>
    <row r="2030" spans="2:3" x14ac:dyDescent="0.25">
      <c r="B2030" s="53"/>
      <c r="C2030" s="53"/>
    </row>
    <row r="2031" spans="2:3" x14ac:dyDescent="0.25">
      <c r="B2031" s="53"/>
      <c r="C2031" s="53"/>
    </row>
    <row r="2032" spans="2:3" x14ac:dyDescent="0.25">
      <c r="B2032" s="53"/>
      <c r="C2032" s="53"/>
    </row>
    <row r="2033" spans="2:3" x14ac:dyDescent="0.25">
      <c r="B2033" s="53"/>
      <c r="C2033" s="53"/>
    </row>
    <row r="2034" spans="2:3" x14ac:dyDescent="0.25">
      <c r="B2034" s="53"/>
      <c r="C2034" s="53"/>
    </row>
    <row r="2035" spans="2:3" x14ac:dyDescent="0.25">
      <c r="B2035" s="53"/>
      <c r="C2035" s="53"/>
    </row>
    <row r="2036" spans="2:3" x14ac:dyDescent="0.25">
      <c r="B2036" s="53"/>
      <c r="C2036" s="53"/>
    </row>
    <row r="2037" spans="2:3" x14ac:dyDescent="0.25">
      <c r="B2037" s="53"/>
      <c r="C2037" s="53"/>
    </row>
    <row r="2038" spans="2:3" x14ac:dyDescent="0.25">
      <c r="B2038" s="53"/>
      <c r="C2038" s="53"/>
    </row>
    <row r="2039" spans="2:3" x14ac:dyDescent="0.25">
      <c r="B2039" s="53"/>
      <c r="C2039" s="53"/>
    </row>
    <row r="2040" spans="2:3" x14ac:dyDescent="0.25">
      <c r="B2040" s="53"/>
      <c r="C2040" s="53"/>
    </row>
    <row r="2041" spans="2:3" x14ac:dyDescent="0.25">
      <c r="B2041" s="53"/>
      <c r="C2041" s="53"/>
    </row>
    <row r="2042" spans="2:3" x14ac:dyDescent="0.25">
      <c r="B2042" s="53"/>
      <c r="C2042" s="53"/>
    </row>
    <row r="2043" spans="2:3" x14ac:dyDescent="0.25">
      <c r="B2043" s="53"/>
      <c r="C2043" s="53"/>
    </row>
    <row r="2044" spans="2:3" x14ac:dyDescent="0.25">
      <c r="B2044" s="53"/>
      <c r="C2044" s="53"/>
    </row>
    <row r="2045" spans="2:3" x14ac:dyDescent="0.25">
      <c r="B2045" s="53"/>
      <c r="C2045" s="53"/>
    </row>
    <row r="2046" spans="2:3" x14ac:dyDescent="0.25">
      <c r="B2046" s="53"/>
      <c r="C2046" s="53"/>
    </row>
    <row r="2047" spans="2:3" x14ac:dyDescent="0.25">
      <c r="B2047" s="53"/>
      <c r="C2047" s="53"/>
    </row>
    <row r="2048" spans="2:3" x14ac:dyDescent="0.25">
      <c r="B2048" s="53"/>
      <c r="C2048" s="53"/>
    </row>
    <row r="2049" spans="2:3" x14ac:dyDescent="0.25">
      <c r="B2049" s="53"/>
      <c r="C2049" s="53"/>
    </row>
    <row r="2050" spans="2:3" x14ac:dyDescent="0.25">
      <c r="B2050" s="53"/>
      <c r="C2050" s="53"/>
    </row>
    <row r="2051" spans="2:3" x14ac:dyDescent="0.25">
      <c r="B2051" s="53"/>
      <c r="C2051" s="53"/>
    </row>
    <row r="2052" spans="2:3" x14ac:dyDescent="0.25">
      <c r="B2052" s="53"/>
      <c r="C2052" s="53"/>
    </row>
    <row r="2053" spans="2:3" x14ac:dyDescent="0.25">
      <c r="B2053" s="53"/>
      <c r="C2053" s="53"/>
    </row>
    <row r="2054" spans="2:3" x14ac:dyDescent="0.25">
      <c r="B2054" s="53"/>
      <c r="C2054" s="53"/>
    </row>
    <row r="2055" spans="2:3" x14ac:dyDescent="0.25">
      <c r="B2055" s="53"/>
      <c r="C2055" s="53"/>
    </row>
    <row r="2056" spans="2:3" x14ac:dyDescent="0.25">
      <c r="B2056" s="53"/>
      <c r="C2056" s="53"/>
    </row>
    <row r="2057" spans="2:3" x14ac:dyDescent="0.25">
      <c r="B2057" s="53"/>
      <c r="C2057" s="53"/>
    </row>
    <row r="2058" spans="2:3" x14ac:dyDescent="0.25">
      <c r="B2058" s="53"/>
      <c r="C2058" s="53"/>
    </row>
    <row r="2059" spans="2:3" x14ac:dyDescent="0.25">
      <c r="B2059" s="53"/>
      <c r="C2059" s="53"/>
    </row>
    <row r="2060" spans="2:3" x14ac:dyDescent="0.25">
      <c r="B2060" s="53"/>
      <c r="C2060" s="53"/>
    </row>
    <row r="2061" spans="2:3" x14ac:dyDescent="0.25">
      <c r="B2061" s="53"/>
      <c r="C2061" s="53"/>
    </row>
    <row r="2062" spans="2:3" x14ac:dyDescent="0.25">
      <c r="B2062" s="53"/>
      <c r="C2062" s="53"/>
    </row>
    <row r="2063" spans="2:3" x14ac:dyDescent="0.25">
      <c r="B2063" s="53"/>
      <c r="C2063" s="53"/>
    </row>
    <row r="2064" spans="2:3" x14ac:dyDescent="0.25">
      <c r="B2064" s="53"/>
      <c r="C2064" s="53"/>
    </row>
    <row r="2065" spans="2:3" x14ac:dyDescent="0.25">
      <c r="B2065" s="53"/>
      <c r="C2065" s="53"/>
    </row>
    <row r="2066" spans="2:3" x14ac:dyDescent="0.25">
      <c r="B2066" s="53"/>
      <c r="C2066" s="53"/>
    </row>
    <row r="2067" spans="2:3" x14ac:dyDescent="0.25">
      <c r="B2067" s="53"/>
      <c r="C2067" s="53"/>
    </row>
    <row r="2068" spans="2:3" x14ac:dyDescent="0.25">
      <c r="B2068" s="53"/>
      <c r="C2068" s="53"/>
    </row>
    <row r="2069" spans="2:3" x14ac:dyDescent="0.25">
      <c r="B2069" s="53"/>
      <c r="C2069" s="53"/>
    </row>
    <row r="2070" spans="2:3" x14ac:dyDescent="0.25">
      <c r="B2070" s="53"/>
      <c r="C2070" s="53"/>
    </row>
    <row r="2071" spans="2:3" x14ac:dyDescent="0.25">
      <c r="B2071" s="53"/>
      <c r="C2071" s="53"/>
    </row>
    <row r="2072" spans="2:3" x14ac:dyDescent="0.25">
      <c r="B2072" s="53"/>
      <c r="C2072" s="53"/>
    </row>
    <row r="2073" spans="2:3" x14ac:dyDescent="0.25">
      <c r="B2073" s="53"/>
      <c r="C2073" s="53"/>
    </row>
    <row r="2074" spans="2:3" x14ac:dyDescent="0.25">
      <c r="B2074" s="53"/>
      <c r="C2074" s="53"/>
    </row>
    <row r="2075" spans="2:3" x14ac:dyDescent="0.25">
      <c r="B2075" s="53"/>
      <c r="C2075" s="53"/>
    </row>
    <row r="2076" spans="2:3" x14ac:dyDescent="0.25">
      <c r="B2076" s="53"/>
      <c r="C2076" s="53"/>
    </row>
    <row r="2077" spans="2:3" x14ac:dyDescent="0.25">
      <c r="B2077" s="53"/>
      <c r="C2077" s="53"/>
    </row>
    <row r="2078" spans="2:3" x14ac:dyDescent="0.25">
      <c r="B2078" s="53"/>
      <c r="C2078" s="53"/>
    </row>
    <row r="2079" spans="2:3" x14ac:dyDescent="0.25">
      <c r="B2079" s="53"/>
      <c r="C2079" s="53"/>
    </row>
    <row r="2080" spans="2:3" x14ac:dyDescent="0.25">
      <c r="B2080" s="53"/>
      <c r="C2080" s="53"/>
    </row>
    <row r="2081" spans="2:3" x14ac:dyDescent="0.25">
      <c r="B2081" s="53"/>
      <c r="C2081" s="53"/>
    </row>
    <row r="2082" spans="2:3" x14ac:dyDescent="0.25">
      <c r="B2082" s="53"/>
      <c r="C2082" s="53"/>
    </row>
    <row r="2083" spans="2:3" x14ac:dyDescent="0.25">
      <c r="B2083" s="53"/>
      <c r="C2083" s="53"/>
    </row>
    <row r="2084" spans="2:3" x14ac:dyDescent="0.25">
      <c r="B2084" s="53"/>
      <c r="C2084" s="53"/>
    </row>
    <row r="2085" spans="2:3" x14ac:dyDescent="0.25">
      <c r="B2085" s="53"/>
      <c r="C2085" s="53"/>
    </row>
    <row r="2086" spans="2:3" x14ac:dyDescent="0.25">
      <c r="B2086" s="53"/>
      <c r="C2086" s="53"/>
    </row>
    <row r="2087" spans="2:3" x14ac:dyDescent="0.25">
      <c r="B2087" s="53"/>
      <c r="C2087" s="53"/>
    </row>
    <row r="2088" spans="2:3" x14ac:dyDescent="0.25">
      <c r="B2088" s="53"/>
      <c r="C2088" s="53"/>
    </row>
    <row r="2089" spans="2:3" x14ac:dyDescent="0.25">
      <c r="B2089" s="53"/>
      <c r="C2089" s="53"/>
    </row>
    <row r="2090" spans="2:3" x14ac:dyDescent="0.25">
      <c r="B2090" s="53"/>
      <c r="C2090" s="53"/>
    </row>
    <row r="2091" spans="2:3" x14ac:dyDescent="0.25">
      <c r="B2091" s="53"/>
      <c r="C2091" s="53"/>
    </row>
    <row r="2092" spans="2:3" x14ac:dyDescent="0.25">
      <c r="B2092" s="53"/>
      <c r="C2092" s="53"/>
    </row>
    <row r="2093" spans="2:3" x14ac:dyDescent="0.25">
      <c r="B2093" s="53"/>
      <c r="C2093" s="53"/>
    </row>
    <row r="2094" spans="2:3" x14ac:dyDescent="0.25">
      <c r="B2094" s="53"/>
      <c r="C2094" s="53"/>
    </row>
    <row r="2095" spans="2:3" x14ac:dyDescent="0.25">
      <c r="B2095" s="53"/>
      <c r="C2095" s="53"/>
    </row>
    <row r="2096" spans="2:3" x14ac:dyDescent="0.25">
      <c r="B2096" s="53"/>
      <c r="C2096" s="53"/>
    </row>
    <row r="2097" spans="2:3" x14ac:dyDescent="0.25">
      <c r="B2097" s="53"/>
      <c r="C2097" s="53"/>
    </row>
    <row r="2098" spans="2:3" x14ac:dyDescent="0.25">
      <c r="B2098" s="53"/>
      <c r="C2098" s="53"/>
    </row>
    <row r="2099" spans="2:3" x14ac:dyDescent="0.25">
      <c r="B2099" s="53"/>
      <c r="C2099" s="53"/>
    </row>
    <row r="2100" spans="2:3" x14ac:dyDescent="0.25">
      <c r="B2100" s="53"/>
      <c r="C2100" s="53"/>
    </row>
    <row r="2101" spans="2:3" x14ac:dyDescent="0.25">
      <c r="B2101" s="53"/>
      <c r="C2101" s="53"/>
    </row>
    <row r="2102" spans="2:3" x14ac:dyDescent="0.25">
      <c r="B2102" s="53"/>
      <c r="C2102" s="53"/>
    </row>
    <row r="2103" spans="2:3" x14ac:dyDescent="0.25">
      <c r="B2103" s="53"/>
      <c r="C2103" s="53"/>
    </row>
    <row r="2104" spans="2:3" x14ac:dyDescent="0.25">
      <c r="B2104" s="53"/>
      <c r="C2104" s="53"/>
    </row>
    <row r="2105" spans="2:3" x14ac:dyDescent="0.25">
      <c r="B2105" s="53"/>
      <c r="C2105" s="53"/>
    </row>
    <row r="2106" spans="2:3" x14ac:dyDescent="0.25">
      <c r="B2106" s="53"/>
      <c r="C2106" s="53"/>
    </row>
    <row r="2107" spans="2:3" x14ac:dyDescent="0.25">
      <c r="B2107" s="53"/>
      <c r="C2107" s="53"/>
    </row>
    <row r="2108" spans="2:3" x14ac:dyDescent="0.25">
      <c r="B2108" s="53"/>
      <c r="C2108" s="53"/>
    </row>
    <row r="2109" spans="2:3" x14ac:dyDescent="0.25">
      <c r="B2109" s="53"/>
      <c r="C2109" s="53"/>
    </row>
    <row r="2110" spans="2:3" x14ac:dyDescent="0.25">
      <c r="B2110" s="53"/>
      <c r="C2110" s="53"/>
    </row>
    <row r="2111" spans="2:3" x14ac:dyDescent="0.25">
      <c r="B2111" s="53"/>
      <c r="C2111" s="53"/>
    </row>
    <row r="2112" spans="2:3" x14ac:dyDescent="0.25">
      <c r="B2112" s="53"/>
      <c r="C2112" s="53"/>
    </row>
    <row r="2113" spans="2:3" x14ac:dyDescent="0.25">
      <c r="B2113" s="53"/>
      <c r="C2113" s="53"/>
    </row>
    <row r="2114" spans="2:3" x14ac:dyDescent="0.25">
      <c r="B2114" s="53"/>
      <c r="C2114" s="53"/>
    </row>
    <row r="2115" spans="2:3" x14ac:dyDescent="0.25">
      <c r="B2115" s="53"/>
      <c r="C2115" s="53"/>
    </row>
    <row r="2116" spans="2:3" x14ac:dyDescent="0.25">
      <c r="B2116" s="53"/>
      <c r="C2116" s="53"/>
    </row>
    <row r="2117" spans="2:3" x14ac:dyDescent="0.25">
      <c r="B2117" s="53"/>
      <c r="C2117" s="53"/>
    </row>
    <row r="2118" spans="2:3" x14ac:dyDescent="0.25">
      <c r="B2118" s="53"/>
      <c r="C2118" s="53"/>
    </row>
    <row r="2119" spans="2:3" x14ac:dyDescent="0.25">
      <c r="B2119" s="53"/>
      <c r="C2119" s="53"/>
    </row>
    <row r="2120" spans="2:3" x14ac:dyDescent="0.25">
      <c r="B2120" s="53"/>
      <c r="C2120" s="53"/>
    </row>
    <row r="2121" spans="2:3" x14ac:dyDescent="0.25">
      <c r="B2121" s="53"/>
      <c r="C2121" s="53"/>
    </row>
    <row r="2122" spans="2:3" x14ac:dyDescent="0.25">
      <c r="B2122" s="53"/>
      <c r="C2122" s="53"/>
    </row>
    <row r="2123" spans="2:3" x14ac:dyDescent="0.25">
      <c r="B2123" s="53"/>
      <c r="C2123" s="53"/>
    </row>
    <row r="2124" spans="2:3" x14ac:dyDescent="0.25">
      <c r="B2124" s="53"/>
      <c r="C2124" s="53"/>
    </row>
    <row r="2125" spans="2:3" x14ac:dyDescent="0.25">
      <c r="B2125" s="53"/>
      <c r="C2125" s="53"/>
    </row>
    <row r="2126" spans="2:3" x14ac:dyDescent="0.25">
      <c r="B2126" s="53"/>
      <c r="C2126" s="53"/>
    </row>
    <row r="2127" spans="2:3" x14ac:dyDescent="0.25">
      <c r="B2127" s="53"/>
      <c r="C2127" s="53"/>
    </row>
    <row r="2128" spans="2:3" x14ac:dyDescent="0.25">
      <c r="B2128" s="53"/>
      <c r="C2128" s="53"/>
    </row>
    <row r="2129" spans="2:3" x14ac:dyDescent="0.25">
      <c r="B2129" s="53"/>
      <c r="C2129" s="53"/>
    </row>
    <row r="2130" spans="2:3" x14ac:dyDescent="0.25">
      <c r="B2130" s="53"/>
      <c r="C2130" s="53"/>
    </row>
    <row r="2131" spans="2:3" x14ac:dyDescent="0.25">
      <c r="B2131" s="53"/>
      <c r="C2131" s="53"/>
    </row>
    <row r="2132" spans="2:3" x14ac:dyDescent="0.25">
      <c r="B2132" s="53"/>
      <c r="C2132" s="53"/>
    </row>
    <row r="2133" spans="2:3" x14ac:dyDescent="0.25">
      <c r="B2133" s="53"/>
      <c r="C2133" s="53"/>
    </row>
    <row r="2134" spans="2:3" x14ac:dyDescent="0.25">
      <c r="B2134" s="53"/>
      <c r="C2134" s="53"/>
    </row>
    <row r="2135" spans="2:3" x14ac:dyDescent="0.25">
      <c r="B2135" s="53"/>
      <c r="C2135" s="53"/>
    </row>
    <row r="2136" spans="2:3" x14ac:dyDescent="0.25">
      <c r="B2136" s="53"/>
      <c r="C2136" s="53"/>
    </row>
    <row r="2137" spans="2:3" x14ac:dyDescent="0.25">
      <c r="B2137" s="53"/>
      <c r="C2137" s="53"/>
    </row>
    <row r="2138" spans="2:3" x14ac:dyDescent="0.25">
      <c r="B2138" s="53"/>
      <c r="C2138" s="53"/>
    </row>
    <row r="2139" spans="2:3" x14ac:dyDescent="0.25">
      <c r="B2139" s="53"/>
      <c r="C2139" s="53"/>
    </row>
    <row r="2140" spans="2:3" x14ac:dyDescent="0.25">
      <c r="B2140" s="53"/>
      <c r="C2140" s="53"/>
    </row>
    <row r="2141" spans="2:3" x14ac:dyDescent="0.25">
      <c r="B2141" s="53"/>
      <c r="C2141" s="53"/>
    </row>
    <row r="2142" spans="2:3" x14ac:dyDescent="0.25">
      <c r="B2142" s="53"/>
      <c r="C2142" s="53"/>
    </row>
    <row r="2143" spans="2:3" x14ac:dyDescent="0.25">
      <c r="B2143" s="53"/>
      <c r="C2143" s="53"/>
    </row>
    <row r="2144" spans="2:3" x14ac:dyDescent="0.25">
      <c r="B2144" s="53"/>
      <c r="C2144" s="53"/>
    </row>
    <row r="2145" spans="2:3" x14ac:dyDescent="0.25">
      <c r="B2145" s="53"/>
      <c r="C2145" s="53"/>
    </row>
    <row r="2146" spans="2:3" x14ac:dyDescent="0.25">
      <c r="B2146" s="53"/>
      <c r="C2146" s="53"/>
    </row>
    <row r="2147" spans="2:3" x14ac:dyDescent="0.25">
      <c r="B2147" s="53"/>
      <c r="C2147" s="53"/>
    </row>
    <row r="2148" spans="2:3" x14ac:dyDescent="0.25">
      <c r="B2148" s="53"/>
      <c r="C2148" s="53"/>
    </row>
    <row r="2149" spans="2:3" x14ac:dyDescent="0.25">
      <c r="B2149" s="53"/>
      <c r="C2149" s="53"/>
    </row>
    <row r="2150" spans="2:3" x14ac:dyDescent="0.25">
      <c r="B2150" s="53"/>
      <c r="C2150" s="53"/>
    </row>
    <row r="2151" spans="2:3" x14ac:dyDescent="0.25">
      <c r="B2151" s="53"/>
      <c r="C2151" s="53"/>
    </row>
    <row r="2152" spans="2:3" x14ac:dyDescent="0.25">
      <c r="B2152" s="53"/>
      <c r="C2152" s="53"/>
    </row>
    <row r="2153" spans="2:3" x14ac:dyDescent="0.25">
      <c r="B2153" s="53"/>
      <c r="C2153" s="53"/>
    </row>
    <row r="2154" spans="2:3" x14ac:dyDescent="0.25">
      <c r="B2154" s="53"/>
      <c r="C2154" s="53"/>
    </row>
    <row r="2155" spans="2:3" x14ac:dyDescent="0.25">
      <c r="B2155" s="53"/>
      <c r="C2155" s="53"/>
    </row>
    <row r="2156" spans="2:3" x14ac:dyDescent="0.25">
      <c r="B2156" s="53"/>
      <c r="C2156" s="53"/>
    </row>
    <row r="2157" spans="2:3" x14ac:dyDescent="0.25">
      <c r="B2157" s="53"/>
      <c r="C2157" s="53"/>
    </row>
    <row r="2158" spans="2:3" x14ac:dyDescent="0.25">
      <c r="B2158" s="53"/>
      <c r="C2158" s="53"/>
    </row>
    <row r="2159" spans="2:3" x14ac:dyDescent="0.25">
      <c r="B2159" s="53"/>
      <c r="C2159" s="53"/>
    </row>
    <row r="2160" spans="2:3" x14ac:dyDescent="0.25">
      <c r="B2160" s="53"/>
      <c r="C2160" s="53"/>
    </row>
    <row r="2161" spans="2:3" x14ac:dyDescent="0.25">
      <c r="B2161" s="53"/>
      <c r="C2161" s="53"/>
    </row>
    <row r="2162" spans="2:3" x14ac:dyDescent="0.25">
      <c r="B2162" s="53"/>
      <c r="C2162" s="53"/>
    </row>
    <row r="2163" spans="2:3" x14ac:dyDescent="0.25">
      <c r="B2163" s="53"/>
      <c r="C2163" s="53"/>
    </row>
    <row r="2164" spans="2:3" x14ac:dyDescent="0.25">
      <c r="B2164" s="53"/>
      <c r="C2164" s="53"/>
    </row>
    <row r="2165" spans="2:3" x14ac:dyDescent="0.25">
      <c r="B2165" s="53"/>
      <c r="C2165" s="53"/>
    </row>
    <row r="2166" spans="2:3" x14ac:dyDescent="0.25">
      <c r="B2166" s="53"/>
      <c r="C2166" s="53"/>
    </row>
    <row r="2167" spans="2:3" x14ac:dyDescent="0.25">
      <c r="B2167" s="53"/>
      <c r="C2167" s="53"/>
    </row>
    <row r="2168" spans="2:3" x14ac:dyDescent="0.25">
      <c r="B2168" s="53"/>
      <c r="C2168" s="53"/>
    </row>
    <row r="2169" spans="2:3" x14ac:dyDescent="0.25">
      <c r="B2169" s="53"/>
      <c r="C2169" s="53"/>
    </row>
    <row r="2170" spans="2:3" x14ac:dyDescent="0.25">
      <c r="B2170" s="53"/>
      <c r="C2170" s="53"/>
    </row>
    <row r="2171" spans="2:3" x14ac:dyDescent="0.25">
      <c r="B2171" s="53"/>
      <c r="C2171" s="53"/>
    </row>
    <row r="2172" spans="2:3" x14ac:dyDescent="0.25">
      <c r="B2172" s="53"/>
      <c r="C2172" s="53"/>
    </row>
    <row r="2173" spans="2:3" x14ac:dyDescent="0.25">
      <c r="B2173" s="53"/>
      <c r="C2173" s="53"/>
    </row>
    <row r="2174" spans="2:3" x14ac:dyDescent="0.25">
      <c r="B2174" s="53"/>
      <c r="C2174" s="53"/>
    </row>
    <row r="2175" spans="2:3" x14ac:dyDescent="0.25">
      <c r="B2175" s="53"/>
      <c r="C2175" s="53"/>
    </row>
    <row r="2176" spans="2:3" x14ac:dyDescent="0.25">
      <c r="B2176" s="53"/>
      <c r="C2176" s="53"/>
    </row>
    <row r="2177" spans="2:3" x14ac:dyDescent="0.25">
      <c r="B2177" s="53"/>
      <c r="C2177" s="53"/>
    </row>
    <row r="2178" spans="2:3" x14ac:dyDescent="0.25">
      <c r="B2178" s="53"/>
      <c r="C2178" s="53"/>
    </row>
    <row r="2179" spans="2:3" x14ac:dyDescent="0.25">
      <c r="B2179" s="53"/>
      <c r="C2179" s="53"/>
    </row>
    <row r="2180" spans="2:3" x14ac:dyDescent="0.25">
      <c r="B2180" s="53"/>
      <c r="C2180" s="53"/>
    </row>
    <row r="2181" spans="2:3" x14ac:dyDescent="0.25">
      <c r="B2181" s="53"/>
      <c r="C2181" s="53"/>
    </row>
    <row r="2182" spans="2:3" x14ac:dyDescent="0.25">
      <c r="B2182" s="53"/>
      <c r="C2182" s="53"/>
    </row>
    <row r="2183" spans="2:3" x14ac:dyDescent="0.25">
      <c r="B2183" s="53"/>
      <c r="C2183" s="53"/>
    </row>
    <row r="2184" spans="2:3" x14ac:dyDescent="0.25">
      <c r="B2184" s="53"/>
      <c r="C2184" s="53"/>
    </row>
    <row r="2185" spans="2:3" x14ac:dyDescent="0.25">
      <c r="B2185" s="53"/>
      <c r="C2185" s="53"/>
    </row>
    <row r="2186" spans="2:3" x14ac:dyDescent="0.25">
      <c r="B2186" s="53"/>
      <c r="C2186" s="53"/>
    </row>
    <row r="2187" spans="2:3" x14ac:dyDescent="0.25">
      <c r="B2187" s="53"/>
      <c r="C2187" s="53"/>
    </row>
    <row r="2188" spans="2:3" x14ac:dyDescent="0.25">
      <c r="B2188" s="53"/>
      <c r="C2188" s="53"/>
    </row>
    <row r="2189" spans="2:3" x14ac:dyDescent="0.25">
      <c r="B2189" s="53"/>
      <c r="C2189" s="53"/>
    </row>
    <row r="2190" spans="2:3" x14ac:dyDescent="0.25">
      <c r="B2190" s="53"/>
      <c r="C2190" s="53"/>
    </row>
    <row r="2191" spans="2:3" x14ac:dyDescent="0.25">
      <c r="B2191" s="53"/>
      <c r="C2191" s="53"/>
    </row>
    <row r="2192" spans="2:3" x14ac:dyDescent="0.25">
      <c r="B2192" s="53"/>
      <c r="C2192" s="53"/>
    </row>
    <row r="2193" spans="2:3" x14ac:dyDescent="0.25">
      <c r="B2193" s="53"/>
      <c r="C2193" s="53"/>
    </row>
    <row r="2194" spans="2:3" x14ac:dyDescent="0.25">
      <c r="B2194" s="53"/>
      <c r="C2194" s="53"/>
    </row>
    <row r="2195" spans="2:3" x14ac:dyDescent="0.25">
      <c r="B2195" s="53"/>
      <c r="C2195" s="53"/>
    </row>
    <row r="2196" spans="2:3" x14ac:dyDescent="0.25">
      <c r="B2196" s="53"/>
      <c r="C2196" s="53"/>
    </row>
    <row r="2197" spans="2:3" x14ac:dyDescent="0.25">
      <c r="B2197" s="53"/>
      <c r="C2197" s="53"/>
    </row>
    <row r="2198" spans="2:3" x14ac:dyDescent="0.25">
      <c r="B2198" s="53"/>
      <c r="C2198" s="53"/>
    </row>
    <row r="2199" spans="2:3" x14ac:dyDescent="0.25">
      <c r="B2199" s="53"/>
      <c r="C2199" s="53"/>
    </row>
    <row r="2200" spans="2:3" x14ac:dyDescent="0.25">
      <c r="B2200" s="53"/>
      <c r="C2200" s="53"/>
    </row>
    <row r="2201" spans="2:3" x14ac:dyDescent="0.25">
      <c r="B2201" s="53"/>
      <c r="C2201" s="53"/>
    </row>
    <row r="2202" spans="2:3" x14ac:dyDescent="0.25">
      <c r="B2202" s="53"/>
      <c r="C2202" s="53"/>
    </row>
    <row r="2203" spans="2:3" x14ac:dyDescent="0.25">
      <c r="B2203" s="53"/>
      <c r="C2203" s="53"/>
    </row>
    <row r="2204" spans="2:3" x14ac:dyDescent="0.25">
      <c r="B2204" s="53"/>
      <c r="C2204" s="53"/>
    </row>
    <row r="2205" spans="2:3" x14ac:dyDescent="0.25">
      <c r="B2205" s="53"/>
      <c r="C2205" s="53"/>
    </row>
    <row r="2206" spans="2:3" x14ac:dyDescent="0.25">
      <c r="B2206" s="53"/>
      <c r="C2206" s="53"/>
    </row>
    <row r="2207" spans="2:3" x14ac:dyDescent="0.25">
      <c r="B2207" s="53"/>
      <c r="C2207" s="53"/>
    </row>
    <row r="2208" spans="2:3" x14ac:dyDescent="0.25">
      <c r="B2208" s="53"/>
      <c r="C2208" s="53"/>
    </row>
    <row r="2209" spans="2:3" x14ac:dyDescent="0.25">
      <c r="B2209" s="53"/>
      <c r="C2209" s="53"/>
    </row>
    <row r="2210" spans="2:3" x14ac:dyDescent="0.25">
      <c r="B2210" s="53"/>
      <c r="C2210" s="53"/>
    </row>
    <row r="2211" spans="2:3" x14ac:dyDescent="0.25">
      <c r="B2211" s="53"/>
      <c r="C2211" s="53"/>
    </row>
    <row r="2212" spans="2:3" x14ac:dyDescent="0.25">
      <c r="B2212" s="53"/>
      <c r="C2212" s="53"/>
    </row>
    <row r="2213" spans="2:3" x14ac:dyDescent="0.25">
      <c r="B2213" s="53"/>
      <c r="C2213" s="53"/>
    </row>
    <row r="2214" spans="2:3" x14ac:dyDescent="0.25">
      <c r="B2214" s="53"/>
      <c r="C2214" s="53"/>
    </row>
    <row r="2215" spans="2:3" x14ac:dyDescent="0.25">
      <c r="B2215" s="53"/>
      <c r="C2215" s="53"/>
    </row>
    <row r="2216" spans="2:3" x14ac:dyDescent="0.25">
      <c r="B2216" s="53"/>
      <c r="C2216" s="53"/>
    </row>
    <row r="2217" spans="2:3" x14ac:dyDescent="0.25">
      <c r="B2217" s="53"/>
      <c r="C2217" s="53"/>
    </row>
    <row r="2218" spans="2:3" x14ac:dyDescent="0.25">
      <c r="B2218" s="53"/>
      <c r="C2218" s="53"/>
    </row>
    <row r="2219" spans="2:3" x14ac:dyDescent="0.25">
      <c r="B2219" s="53"/>
      <c r="C2219" s="53"/>
    </row>
    <row r="2220" spans="2:3" x14ac:dyDescent="0.25">
      <c r="B2220" s="53"/>
      <c r="C2220" s="53"/>
    </row>
    <row r="2221" spans="2:3" x14ac:dyDescent="0.25">
      <c r="B2221" s="53"/>
      <c r="C2221" s="53"/>
    </row>
    <row r="2222" spans="2:3" x14ac:dyDescent="0.25">
      <c r="B2222" s="53"/>
      <c r="C2222" s="53"/>
    </row>
    <row r="2223" spans="2:3" x14ac:dyDescent="0.25">
      <c r="B2223" s="53"/>
      <c r="C2223" s="53"/>
    </row>
    <row r="2224" spans="2:3" x14ac:dyDescent="0.25">
      <c r="B2224" s="53"/>
      <c r="C2224" s="53"/>
    </row>
    <row r="2225" spans="2:3" x14ac:dyDescent="0.25">
      <c r="B2225" s="53"/>
      <c r="C2225" s="53"/>
    </row>
    <row r="2226" spans="2:3" x14ac:dyDescent="0.25">
      <c r="B2226" s="53"/>
      <c r="C2226" s="53"/>
    </row>
    <row r="2227" spans="2:3" x14ac:dyDescent="0.25">
      <c r="B2227" s="53"/>
      <c r="C2227" s="53"/>
    </row>
    <row r="2228" spans="2:3" x14ac:dyDescent="0.25">
      <c r="B2228" s="53"/>
      <c r="C2228" s="53"/>
    </row>
    <row r="2229" spans="2:3" x14ac:dyDescent="0.25">
      <c r="B2229" s="53"/>
      <c r="C2229" s="53"/>
    </row>
    <row r="2230" spans="2:3" x14ac:dyDescent="0.25">
      <c r="B2230" s="53"/>
      <c r="C2230" s="53"/>
    </row>
    <row r="2231" spans="2:3" x14ac:dyDescent="0.25">
      <c r="B2231" s="53"/>
      <c r="C2231" s="53"/>
    </row>
    <row r="2232" spans="2:3" x14ac:dyDescent="0.25">
      <c r="B2232" s="53"/>
      <c r="C2232" s="53"/>
    </row>
    <row r="2233" spans="2:3" x14ac:dyDescent="0.25">
      <c r="B2233" s="53"/>
      <c r="C2233" s="53"/>
    </row>
    <row r="2234" spans="2:3" x14ac:dyDescent="0.25">
      <c r="B2234" s="53"/>
      <c r="C2234" s="53"/>
    </row>
    <row r="2235" spans="2:3" x14ac:dyDescent="0.25">
      <c r="B2235" s="53"/>
      <c r="C2235" s="53"/>
    </row>
    <row r="2236" spans="2:3" x14ac:dyDescent="0.25">
      <c r="B2236" s="53"/>
      <c r="C2236" s="53"/>
    </row>
    <row r="2237" spans="2:3" x14ac:dyDescent="0.25">
      <c r="B2237" s="53"/>
      <c r="C2237" s="53"/>
    </row>
    <row r="2238" spans="2:3" x14ac:dyDescent="0.25">
      <c r="B2238" s="53"/>
      <c r="C2238" s="53"/>
    </row>
    <row r="2239" spans="2:3" x14ac:dyDescent="0.25">
      <c r="B2239" s="53"/>
      <c r="C2239" s="53"/>
    </row>
    <row r="2240" spans="2:3" x14ac:dyDescent="0.25">
      <c r="B2240" s="53"/>
      <c r="C2240" s="53"/>
    </row>
    <row r="2241" spans="2:3" x14ac:dyDescent="0.25">
      <c r="B2241" s="53"/>
      <c r="C2241" s="53"/>
    </row>
    <row r="2242" spans="2:3" x14ac:dyDescent="0.25">
      <c r="B2242" s="53"/>
      <c r="C2242" s="53"/>
    </row>
    <row r="2243" spans="2:3" x14ac:dyDescent="0.25">
      <c r="B2243" s="53"/>
      <c r="C2243" s="53"/>
    </row>
    <row r="2244" spans="2:3" x14ac:dyDescent="0.25">
      <c r="B2244" s="53"/>
      <c r="C2244" s="53"/>
    </row>
    <row r="2245" spans="2:3" x14ac:dyDescent="0.25">
      <c r="B2245" s="53"/>
      <c r="C2245" s="53"/>
    </row>
    <row r="2246" spans="2:3" x14ac:dyDescent="0.25">
      <c r="B2246" s="53"/>
      <c r="C2246" s="53"/>
    </row>
    <row r="2247" spans="2:3" x14ac:dyDescent="0.25">
      <c r="B2247" s="53"/>
      <c r="C2247" s="53"/>
    </row>
    <row r="2248" spans="2:3" x14ac:dyDescent="0.25">
      <c r="B2248" s="53"/>
      <c r="C2248" s="53"/>
    </row>
    <row r="2249" spans="2:3" x14ac:dyDescent="0.25">
      <c r="B2249" s="53"/>
      <c r="C2249" s="53"/>
    </row>
    <row r="2250" spans="2:3" x14ac:dyDescent="0.25">
      <c r="B2250" s="53"/>
      <c r="C2250" s="53"/>
    </row>
    <row r="2251" spans="2:3" x14ac:dyDescent="0.25">
      <c r="B2251" s="53"/>
      <c r="C2251" s="53"/>
    </row>
    <row r="2252" spans="2:3" x14ac:dyDescent="0.25">
      <c r="B2252" s="53"/>
      <c r="C2252" s="53"/>
    </row>
    <row r="2253" spans="2:3" x14ac:dyDescent="0.25">
      <c r="B2253" s="53"/>
      <c r="C2253" s="53"/>
    </row>
    <row r="2254" spans="2:3" x14ac:dyDescent="0.25">
      <c r="B2254" s="53"/>
      <c r="C2254" s="53"/>
    </row>
    <row r="2255" spans="2:3" x14ac:dyDescent="0.25">
      <c r="B2255" s="53"/>
      <c r="C2255" s="53"/>
    </row>
    <row r="2256" spans="2:3" x14ac:dyDescent="0.25">
      <c r="B2256" s="53"/>
      <c r="C2256" s="53"/>
    </row>
    <row r="2257" spans="2:3" x14ac:dyDescent="0.25">
      <c r="B2257" s="53"/>
      <c r="C2257" s="53"/>
    </row>
    <row r="2258" spans="2:3" x14ac:dyDescent="0.25">
      <c r="B2258" s="53"/>
      <c r="C2258" s="53"/>
    </row>
    <row r="2259" spans="2:3" x14ac:dyDescent="0.25">
      <c r="B2259" s="53"/>
      <c r="C2259" s="53"/>
    </row>
    <row r="2260" spans="2:3" x14ac:dyDescent="0.25">
      <c r="B2260" s="53"/>
      <c r="C2260" s="53"/>
    </row>
    <row r="2261" spans="2:3" x14ac:dyDescent="0.25">
      <c r="B2261" s="53"/>
      <c r="C2261" s="53"/>
    </row>
    <row r="2262" spans="2:3" x14ac:dyDescent="0.25">
      <c r="B2262" s="53"/>
      <c r="C2262" s="53"/>
    </row>
    <row r="2263" spans="2:3" x14ac:dyDescent="0.25">
      <c r="B2263" s="53"/>
      <c r="C2263" s="53"/>
    </row>
    <row r="2264" spans="2:3" x14ac:dyDescent="0.25">
      <c r="B2264" s="53"/>
      <c r="C2264" s="53"/>
    </row>
    <row r="2265" spans="2:3" x14ac:dyDescent="0.25">
      <c r="B2265" s="53"/>
      <c r="C2265" s="53"/>
    </row>
    <row r="2266" spans="2:3" x14ac:dyDescent="0.25">
      <c r="B2266" s="53"/>
      <c r="C2266" s="53"/>
    </row>
    <row r="2267" spans="2:3" x14ac:dyDescent="0.25">
      <c r="B2267" s="53"/>
      <c r="C2267" s="53"/>
    </row>
    <row r="2268" spans="2:3" x14ac:dyDescent="0.25">
      <c r="B2268" s="53"/>
      <c r="C2268" s="53"/>
    </row>
    <row r="2269" spans="2:3" x14ac:dyDescent="0.25">
      <c r="B2269" s="53"/>
      <c r="C2269" s="53"/>
    </row>
    <row r="2270" spans="2:3" x14ac:dyDescent="0.25">
      <c r="B2270" s="53"/>
      <c r="C2270" s="53"/>
    </row>
    <row r="2271" spans="2:3" x14ac:dyDescent="0.25">
      <c r="B2271" s="53"/>
      <c r="C2271" s="53"/>
    </row>
    <row r="2272" spans="2:3" x14ac:dyDescent="0.25">
      <c r="B2272" s="53"/>
      <c r="C2272" s="53"/>
    </row>
    <row r="2273" spans="2:3" x14ac:dyDescent="0.25">
      <c r="B2273" s="53"/>
      <c r="C2273" s="53"/>
    </row>
    <row r="2274" spans="2:3" x14ac:dyDescent="0.25">
      <c r="B2274" s="53"/>
      <c r="C2274" s="53"/>
    </row>
    <row r="2275" spans="2:3" x14ac:dyDescent="0.25">
      <c r="B2275" s="53"/>
      <c r="C2275" s="53"/>
    </row>
    <row r="2276" spans="2:3" x14ac:dyDescent="0.25">
      <c r="B2276" s="53"/>
      <c r="C2276" s="53"/>
    </row>
    <row r="2277" spans="2:3" x14ac:dyDescent="0.25">
      <c r="B2277" s="53"/>
      <c r="C2277" s="53"/>
    </row>
    <row r="2278" spans="2:3" x14ac:dyDescent="0.25">
      <c r="B2278" s="53"/>
      <c r="C2278" s="53"/>
    </row>
    <row r="2279" spans="2:3" x14ac:dyDescent="0.25">
      <c r="B2279" s="53"/>
      <c r="C2279" s="53"/>
    </row>
    <row r="2280" spans="2:3" x14ac:dyDescent="0.25">
      <c r="B2280" s="53"/>
      <c r="C2280" s="53"/>
    </row>
    <row r="2281" spans="2:3" x14ac:dyDescent="0.25">
      <c r="B2281" s="53"/>
      <c r="C2281" s="53"/>
    </row>
    <row r="2282" spans="2:3" x14ac:dyDescent="0.25">
      <c r="B2282" s="53"/>
      <c r="C2282" s="53"/>
    </row>
    <row r="2283" spans="2:3" x14ac:dyDescent="0.25">
      <c r="B2283" s="53"/>
      <c r="C2283" s="53"/>
    </row>
    <row r="2284" spans="2:3" x14ac:dyDescent="0.25">
      <c r="B2284" s="53"/>
      <c r="C2284" s="53"/>
    </row>
    <row r="2285" spans="2:3" x14ac:dyDescent="0.25">
      <c r="B2285" s="53"/>
      <c r="C2285" s="53"/>
    </row>
    <row r="2286" spans="2:3" x14ac:dyDescent="0.25">
      <c r="B2286" s="53"/>
      <c r="C2286" s="53"/>
    </row>
    <row r="2287" spans="2:3" x14ac:dyDescent="0.25">
      <c r="B2287" s="53"/>
      <c r="C2287" s="53"/>
    </row>
    <row r="2288" spans="2:3" x14ac:dyDescent="0.25">
      <c r="B2288" s="53"/>
      <c r="C2288" s="53"/>
    </row>
    <row r="2289" spans="2:3" x14ac:dyDescent="0.25">
      <c r="B2289" s="53"/>
      <c r="C2289" s="53"/>
    </row>
    <row r="2290" spans="2:3" x14ac:dyDescent="0.25">
      <c r="B2290" s="53"/>
      <c r="C2290" s="53"/>
    </row>
    <row r="2291" spans="2:3" x14ac:dyDescent="0.25">
      <c r="B2291" s="53"/>
      <c r="C2291" s="53"/>
    </row>
    <row r="2292" spans="2:3" x14ac:dyDescent="0.25">
      <c r="B2292" s="53"/>
      <c r="C2292" s="53"/>
    </row>
    <row r="2293" spans="2:3" x14ac:dyDescent="0.25">
      <c r="B2293" s="53"/>
      <c r="C2293" s="53"/>
    </row>
    <row r="2294" spans="2:3" x14ac:dyDescent="0.25">
      <c r="B2294" s="53"/>
      <c r="C2294" s="53"/>
    </row>
    <row r="2295" spans="2:3" x14ac:dyDescent="0.25">
      <c r="B2295" s="53"/>
      <c r="C2295" s="53"/>
    </row>
    <row r="2296" spans="2:3" x14ac:dyDescent="0.25">
      <c r="B2296" s="53"/>
      <c r="C2296" s="53"/>
    </row>
    <row r="2297" spans="2:3" x14ac:dyDescent="0.25">
      <c r="B2297" s="53"/>
      <c r="C2297" s="53"/>
    </row>
    <row r="2298" spans="2:3" x14ac:dyDescent="0.25">
      <c r="B2298" s="53"/>
      <c r="C2298" s="53"/>
    </row>
    <row r="2299" spans="2:3" x14ac:dyDescent="0.25">
      <c r="B2299" s="53"/>
      <c r="C2299" s="53"/>
    </row>
    <row r="2300" spans="2:3" x14ac:dyDescent="0.25">
      <c r="B2300" s="53"/>
      <c r="C2300" s="53"/>
    </row>
    <row r="2301" spans="2:3" x14ac:dyDescent="0.25">
      <c r="B2301" s="53"/>
      <c r="C2301" s="53"/>
    </row>
    <row r="2302" spans="2:3" x14ac:dyDescent="0.25">
      <c r="B2302" s="53"/>
      <c r="C2302" s="53"/>
    </row>
    <row r="2303" spans="2:3" x14ac:dyDescent="0.25">
      <c r="B2303" s="53"/>
      <c r="C2303" s="53"/>
    </row>
    <row r="2304" spans="2:3" x14ac:dyDescent="0.25">
      <c r="B2304" s="53"/>
      <c r="C2304" s="53"/>
    </row>
    <row r="2305" spans="2:3" x14ac:dyDescent="0.25">
      <c r="B2305" s="53"/>
      <c r="C2305" s="53"/>
    </row>
    <row r="2306" spans="2:3" x14ac:dyDescent="0.25">
      <c r="B2306" s="53"/>
      <c r="C2306" s="53"/>
    </row>
    <row r="2307" spans="2:3" x14ac:dyDescent="0.25">
      <c r="B2307" s="53"/>
      <c r="C2307" s="53"/>
    </row>
    <row r="2308" spans="2:3" x14ac:dyDescent="0.25">
      <c r="B2308" s="53"/>
      <c r="C2308" s="53"/>
    </row>
    <row r="2309" spans="2:3" x14ac:dyDescent="0.25">
      <c r="B2309" s="53"/>
      <c r="C2309" s="53"/>
    </row>
    <row r="2310" spans="2:3" x14ac:dyDescent="0.25">
      <c r="B2310" s="53"/>
      <c r="C2310" s="53"/>
    </row>
    <row r="2311" spans="2:3" x14ac:dyDescent="0.25">
      <c r="B2311" s="53"/>
      <c r="C2311" s="53"/>
    </row>
    <row r="2312" spans="2:3" x14ac:dyDescent="0.25">
      <c r="B2312" s="53"/>
      <c r="C2312" s="53"/>
    </row>
    <row r="2313" spans="2:3" x14ac:dyDescent="0.25">
      <c r="B2313" s="53"/>
      <c r="C2313" s="53"/>
    </row>
    <row r="2314" spans="2:3" x14ac:dyDescent="0.25">
      <c r="B2314" s="53"/>
      <c r="C2314" s="53"/>
    </row>
    <row r="2315" spans="2:3" x14ac:dyDescent="0.25">
      <c r="B2315" s="53"/>
      <c r="C2315" s="53"/>
    </row>
    <row r="2316" spans="2:3" x14ac:dyDescent="0.25">
      <c r="B2316" s="53"/>
      <c r="C2316" s="53"/>
    </row>
    <row r="2317" spans="2:3" x14ac:dyDescent="0.25">
      <c r="B2317" s="53"/>
      <c r="C2317" s="53"/>
    </row>
    <row r="2318" spans="2:3" x14ac:dyDescent="0.25">
      <c r="B2318" s="53"/>
      <c r="C2318" s="53"/>
    </row>
    <row r="2319" spans="2:3" x14ac:dyDescent="0.25">
      <c r="B2319" s="53"/>
      <c r="C2319" s="53"/>
    </row>
    <row r="2320" spans="2:3" x14ac:dyDescent="0.25">
      <c r="B2320" s="53"/>
      <c r="C2320" s="53"/>
    </row>
    <row r="2321" spans="2:3" x14ac:dyDescent="0.25">
      <c r="B2321" s="53"/>
      <c r="C2321" s="53"/>
    </row>
    <row r="2322" spans="2:3" x14ac:dyDescent="0.25">
      <c r="B2322" s="53"/>
      <c r="C2322" s="53"/>
    </row>
    <row r="2323" spans="2:3" x14ac:dyDescent="0.25">
      <c r="B2323" s="53"/>
      <c r="C2323" s="53"/>
    </row>
    <row r="2324" spans="2:3" x14ac:dyDescent="0.25">
      <c r="B2324" s="53"/>
      <c r="C2324" s="53"/>
    </row>
    <row r="2325" spans="2:3" x14ac:dyDescent="0.25">
      <c r="B2325" s="53"/>
      <c r="C2325" s="53"/>
    </row>
    <row r="2326" spans="2:3" x14ac:dyDescent="0.25">
      <c r="B2326" s="53"/>
      <c r="C2326" s="53"/>
    </row>
    <row r="2327" spans="2:3" x14ac:dyDescent="0.25">
      <c r="B2327" s="53"/>
      <c r="C2327" s="53"/>
    </row>
    <row r="2328" spans="2:3" x14ac:dyDescent="0.25">
      <c r="B2328" s="53"/>
      <c r="C2328" s="53"/>
    </row>
    <row r="2329" spans="2:3" x14ac:dyDescent="0.25">
      <c r="B2329" s="53"/>
      <c r="C2329" s="53"/>
    </row>
    <row r="2330" spans="2:3" x14ac:dyDescent="0.25">
      <c r="B2330" s="53"/>
      <c r="C2330" s="53"/>
    </row>
    <row r="2331" spans="2:3" x14ac:dyDescent="0.25">
      <c r="B2331" s="53"/>
      <c r="C2331" s="53"/>
    </row>
    <row r="2332" spans="2:3" x14ac:dyDescent="0.25">
      <c r="B2332" s="53"/>
      <c r="C2332" s="53"/>
    </row>
    <row r="2333" spans="2:3" x14ac:dyDescent="0.25">
      <c r="B2333" s="53"/>
      <c r="C2333" s="53"/>
    </row>
    <row r="2334" spans="2:3" x14ac:dyDescent="0.25">
      <c r="B2334" s="53"/>
      <c r="C2334" s="53"/>
    </row>
  </sheetData>
  <sheetProtection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3" xr:uid="{00000000-0002-0000-0800-000000000000}">
      <formula1>0</formula1>
      <formula2>4</formula2>
    </dataValidation>
    <dataValidation type="whole" allowBlank="1" showInputMessage="1" showErrorMessage="1" errorTitle="Forkert angivelse af løntrin" error="Angiv løntrin mellem 11 og 50" sqref="C8" xr:uid="{00000000-0002-0000-0800-000001000000}">
      <formula1>11</formula1>
      <formula2>56</formula2>
    </dataValidation>
  </dataValidations>
  <pageMargins left="0.75" right="0.75" top="1" bottom="1" header="0" footer="0"/>
  <pageSetup paperSize="256" scale="96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0"/>
  <dimension ref="B2:D15"/>
  <sheetViews>
    <sheetView showGridLines="0" workbookViewId="0">
      <selection activeCell="B4" sqref="B4:B21"/>
    </sheetView>
  </sheetViews>
  <sheetFormatPr defaultColWidth="8.81640625" defaultRowHeight="12.5" x14ac:dyDescent="0.25"/>
  <cols>
    <col min="1" max="1" width="8.81640625" style="76" customWidth="1"/>
    <col min="2" max="2" width="13.26953125" style="76" customWidth="1"/>
    <col min="3" max="3" width="12.7265625" style="76" customWidth="1"/>
    <col min="4" max="6" width="8.81640625" style="76" customWidth="1"/>
    <col min="7" max="7" width="31.26953125" style="76" customWidth="1"/>
    <col min="8" max="16384" width="8.81640625" style="76"/>
  </cols>
  <sheetData>
    <row r="2" spans="2:4" ht="13" thickBot="1" x14ac:dyDescent="0.3">
      <c r="B2" s="76" t="s">
        <v>51</v>
      </c>
      <c r="D2" s="76" t="s">
        <v>52</v>
      </c>
    </row>
    <row r="3" spans="2:4" ht="13" thickBot="1" x14ac:dyDescent="0.3">
      <c r="B3" s="77" t="s">
        <v>53</v>
      </c>
      <c r="C3" s="78">
        <f>VLOOKUP(beregningsdato,reguleringsprocenter!B4:D15,2,TRUE)</f>
        <v>1.5981590000000001</v>
      </c>
    </row>
    <row r="4" spans="2:4" x14ac:dyDescent="0.25">
      <c r="B4" s="130">
        <v>43831</v>
      </c>
      <c r="C4" s="145">
        <v>1.4124110000000001</v>
      </c>
      <c r="D4" s="129">
        <v>1</v>
      </c>
    </row>
    <row r="5" spans="2:4" x14ac:dyDescent="0.25">
      <c r="B5" s="130">
        <v>43922</v>
      </c>
      <c r="C5" s="145">
        <v>1.4177979999999999</v>
      </c>
      <c r="D5" s="131">
        <v>1</v>
      </c>
    </row>
    <row r="6" spans="2:4" x14ac:dyDescent="0.25">
      <c r="B6" s="130">
        <v>44105</v>
      </c>
      <c r="C6" s="145">
        <v>1.4285110000000001</v>
      </c>
      <c r="D6" s="131">
        <v>1</v>
      </c>
    </row>
    <row r="7" spans="2:4" x14ac:dyDescent="0.25">
      <c r="B7" s="130">
        <v>44287</v>
      </c>
      <c r="C7" s="145">
        <v>1.442796</v>
      </c>
      <c r="D7" s="132">
        <v>1</v>
      </c>
    </row>
    <row r="8" spans="2:4" x14ac:dyDescent="0.25">
      <c r="B8" s="130">
        <v>44470</v>
      </c>
      <c r="C8" s="145">
        <v>1.456933</v>
      </c>
      <c r="D8" s="132">
        <v>1</v>
      </c>
    </row>
    <row r="9" spans="2:4" x14ac:dyDescent="0.25">
      <c r="B9" s="144">
        <v>44652</v>
      </c>
      <c r="C9" s="145">
        <v>1.456933</v>
      </c>
      <c r="D9" s="132">
        <v>1</v>
      </c>
    </row>
    <row r="10" spans="2:4" x14ac:dyDescent="0.25">
      <c r="B10" s="130">
        <v>44835</v>
      </c>
      <c r="C10" s="145">
        <v>1.4940180000000001</v>
      </c>
      <c r="D10" s="132">
        <v>1</v>
      </c>
    </row>
    <row r="11" spans="2:4" x14ac:dyDescent="0.25">
      <c r="B11" s="130">
        <v>45017</v>
      </c>
      <c r="C11" s="145">
        <v>1.4983040000000001</v>
      </c>
      <c r="D11" s="132">
        <v>1</v>
      </c>
    </row>
    <row r="12" spans="2:4" x14ac:dyDescent="0.25">
      <c r="B12" s="130">
        <v>45200</v>
      </c>
      <c r="C12" s="145">
        <v>1.5169710000000001</v>
      </c>
      <c r="D12" s="132">
        <v>1</v>
      </c>
    </row>
    <row r="13" spans="2:4" x14ac:dyDescent="0.25">
      <c r="B13" s="130">
        <v>45383</v>
      </c>
      <c r="C13" s="145">
        <v>1.57765</v>
      </c>
      <c r="D13" s="132">
        <v>1</v>
      </c>
    </row>
    <row r="14" spans="2:4" x14ac:dyDescent="0.25">
      <c r="B14" s="144">
        <v>45566</v>
      </c>
      <c r="C14" s="145">
        <v>1.5981590000000001</v>
      </c>
      <c r="D14" s="132">
        <v>1</v>
      </c>
    </row>
    <row r="15" spans="2:4" x14ac:dyDescent="0.25">
      <c r="B15" s="144">
        <v>45748</v>
      </c>
      <c r="C15" s="145">
        <v>1.5981590000000001</v>
      </c>
      <c r="D15" s="132">
        <v>1</v>
      </c>
    </row>
  </sheetData>
  <sheetProtection selectLockedCells="1"/>
  <phoneticPr fontId="1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4"/>
  <dimension ref="A1:CS76"/>
  <sheetViews>
    <sheetView workbookViewId="0">
      <pane xSplit="1" ySplit="2" topLeftCell="AO37" activePane="bottomRight" state="frozen"/>
      <selection pane="topRight" activeCell="B1" sqref="B1"/>
      <selection pane="bottomLeft" activeCell="A3" sqref="A3"/>
      <selection pane="bottomRight" activeCell="AL45" sqref="AL45:AO59"/>
    </sheetView>
  </sheetViews>
  <sheetFormatPr defaultColWidth="8.81640625" defaultRowHeight="12.5" x14ac:dyDescent="0.25"/>
  <cols>
    <col min="1" max="1" width="6" customWidth="1"/>
    <col min="2" max="2" width="20.453125" bestFit="1" customWidth="1"/>
    <col min="3" max="3" width="11.1796875" bestFit="1" customWidth="1"/>
    <col min="4" max="4" width="11.81640625" bestFit="1" customWidth="1"/>
    <col min="5" max="6" width="11.1796875" bestFit="1" customWidth="1"/>
    <col min="7" max="7" width="2.54296875" style="175" customWidth="1"/>
    <col min="8" max="11" width="2.6328125" customWidth="1"/>
    <col min="12" max="12" width="3.36328125" style="76" customWidth="1"/>
    <col min="13" max="13" width="11.54296875" style="76" bestFit="1" customWidth="1"/>
    <col min="14" max="14" width="13.1796875" style="76" customWidth="1"/>
    <col min="15" max="17" width="11.1796875" style="76" bestFit="1" customWidth="1"/>
    <col min="18" max="18" width="2.7265625" customWidth="1"/>
    <col min="19" max="20" width="11.54296875" style="76" hidden="1" customWidth="1"/>
    <col min="21" max="22" width="10.54296875" style="76" hidden="1" customWidth="1"/>
    <col min="23" max="23" width="9.1796875" hidden="1" customWidth="1"/>
    <col min="24" max="24" width="4.26953125" style="5" customWidth="1"/>
    <col min="25" max="25" width="10.54296875" style="127" customWidth="1"/>
    <col min="26" max="26" width="9.7265625" style="127" customWidth="1"/>
    <col min="27" max="27" width="13" style="127" customWidth="1"/>
    <col min="28" max="28" width="13.453125" style="127" customWidth="1"/>
    <col min="29" max="29" width="6.7265625" style="127" bestFit="1" customWidth="1"/>
    <col min="30" max="31" width="8" style="127" bestFit="1" customWidth="1"/>
    <col min="32" max="32" width="2.453125" style="127" customWidth="1"/>
    <col min="33" max="35" width="6.7265625" style="127" bestFit="1" customWidth="1"/>
    <col min="36" max="36" width="8" style="127" bestFit="1" customWidth="1"/>
    <col min="37" max="37" width="2.453125" style="127" customWidth="1"/>
    <col min="38" max="38" width="10.453125" style="127" customWidth="1"/>
    <col min="39" max="39" width="6.7265625" style="127" bestFit="1" customWidth="1"/>
    <col min="40" max="41" width="8" style="127" bestFit="1" customWidth="1"/>
    <col min="42" max="42" width="4" style="127" customWidth="1"/>
    <col min="43" max="43" width="10.1796875" style="127" customWidth="1"/>
    <col min="44" max="44" width="10.7265625" style="214" customWidth="1"/>
    <col min="45" max="47" width="10.7265625" style="215" customWidth="1"/>
    <col min="48" max="48" width="2.54296875" customWidth="1"/>
    <col min="49" max="49" width="8.7265625"/>
    <col min="50" max="50" width="8.81640625" style="113" customWidth="1"/>
    <col min="51" max="51" width="10.26953125" bestFit="1" customWidth="1"/>
    <col min="52" max="52" width="3.1796875" customWidth="1"/>
    <col min="53" max="56" width="9" style="76" customWidth="1"/>
    <col min="57" max="57" width="8.81640625" style="76" customWidth="1"/>
    <col min="58" max="58" width="18.1796875" style="76" bestFit="1" customWidth="1"/>
    <col min="59" max="59" width="12.81640625" style="76" bestFit="1" customWidth="1"/>
    <col min="60" max="62" width="12.453125" style="76" bestFit="1" customWidth="1"/>
    <col min="63" max="63" width="8.7265625"/>
    <col min="64" max="64" width="4.26953125" style="5" customWidth="1"/>
    <col min="65" max="69" width="9" customWidth="1"/>
    <col min="70" max="70" width="8.7265625"/>
    <col min="71" max="71" width="4.26953125" style="5" customWidth="1"/>
    <col min="72" max="76" width="9" customWidth="1"/>
    <col min="77" max="77" width="8.7265625"/>
    <col min="78" max="78" width="4.26953125" style="5" customWidth="1"/>
    <col min="79" max="83" width="9" customWidth="1"/>
    <col min="84" max="85" width="8.7265625"/>
    <col min="86" max="86" width="11.453125" customWidth="1"/>
    <col min="87" max="87" width="11.81640625" bestFit="1" customWidth="1"/>
    <col min="88" max="88" width="8.7265625"/>
    <col min="89" max="89" width="11.26953125" bestFit="1" customWidth="1"/>
    <col min="90" max="90" width="12.81640625" style="183" bestFit="1" customWidth="1"/>
    <col min="91" max="91" width="20.54296875" style="183" bestFit="1" customWidth="1"/>
    <col min="92" max="92" width="8.7265625"/>
    <col min="93" max="93" width="12.81640625" style="183" bestFit="1" customWidth="1"/>
    <col min="94" max="94" width="12.81640625" style="183" customWidth="1"/>
    <col min="95" max="95" width="12.81640625" style="183" bestFit="1" customWidth="1"/>
    <col min="96" max="97" width="12.7265625" style="183" bestFit="1" customWidth="1"/>
    <col min="98" max="16384" width="8.81640625" style="76"/>
  </cols>
  <sheetData>
    <row r="1" spans="1:97" x14ac:dyDescent="0.25">
      <c r="X1" s="104" t="s">
        <v>12</v>
      </c>
      <c r="Y1" s="105" t="s">
        <v>44</v>
      </c>
      <c r="Z1" s="105"/>
      <c r="AA1" s="218"/>
      <c r="AB1" s="106" t="s">
        <v>54</v>
      </c>
      <c r="AC1" s="105"/>
      <c r="AD1" s="105"/>
      <c r="AE1" s="105"/>
      <c r="AF1" s="105"/>
      <c r="AG1" s="105"/>
      <c r="AH1" s="105"/>
      <c r="AI1" s="105"/>
      <c r="AJ1" s="105"/>
      <c r="AK1" s="105"/>
      <c r="AL1" s="106" t="s">
        <v>83</v>
      </c>
      <c r="AM1" s="105"/>
      <c r="AN1" s="105"/>
      <c r="AO1" s="105"/>
      <c r="AP1" s="105"/>
      <c r="AQ1" s="105" t="s">
        <v>55</v>
      </c>
      <c r="AR1" s="105"/>
      <c r="AS1" s="105"/>
      <c r="AT1" s="105"/>
      <c r="AU1" s="105"/>
      <c r="AW1" s="105" t="s">
        <v>56</v>
      </c>
      <c r="AX1" s="107"/>
      <c r="AY1" s="105"/>
      <c r="BF1" s="76" t="s">
        <v>56</v>
      </c>
      <c r="BL1" s="104" t="s">
        <v>12</v>
      </c>
      <c r="BM1" t="s">
        <v>84</v>
      </c>
      <c r="BS1" s="104" t="s">
        <v>12</v>
      </c>
      <c r="BT1" t="s">
        <v>85</v>
      </c>
      <c r="BZ1" s="104" t="s">
        <v>12</v>
      </c>
      <c r="CA1" t="s">
        <v>86</v>
      </c>
    </row>
    <row r="2" spans="1:97" ht="39.5" thickBot="1" x14ac:dyDescent="0.45">
      <c r="A2" s="219" t="s">
        <v>131</v>
      </c>
      <c r="B2" s="220" t="s">
        <v>132</v>
      </c>
      <c r="C2" s="220"/>
      <c r="D2" s="220"/>
      <c r="E2" s="221" t="s">
        <v>47</v>
      </c>
      <c r="F2" s="222">
        <f>VLOOKUP(beregningsdato,Lønniveauer,1,TRUE)</f>
        <v>45748</v>
      </c>
      <c r="M2" s="220" t="s">
        <v>133</v>
      </c>
      <c r="N2" s="220"/>
      <c r="O2" s="220"/>
      <c r="P2" s="220"/>
      <c r="Q2" s="220"/>
      <c r="S2" s="76" t="s">
        <v>87</v>
      </c>
      <c r="X2" s="104" t="s">
        <v>57</v>
      </c>
      <c r="Y2" s="104" t="s">
        <v>58</v>
      </c>
      <c r="Z2" s="223" t="s">
        <v>134</v>
      </c>
      <c r="AA2" s="224" t="s">
        <v>135</v>
      </c>
      <c r="AB2" s="225" t="s">
        <v>61</v>
      </c>
      <c r="AC2" s="225" t="s">
        <v>62</v>
      </c>
      <c r="AD2" s="225" t="s">
        <v>63</v>
      </c>
      <c r="AE2" s="225" t="s">
        <v>64</v>
      </c>
      <c r="AF2" s="225"/>
      <c r="AG2" s="225"/>
      <c r="AH2" s="225"/>
      <c r="AI2" s="225"/>
      <c r="AJ2" s="225"/>
      <c r="AK2" s="225"/>
      <c r="AL2" s="225">
        <v>1</v>
      </c>
      <c r="AM2" s="225">
        <v>2</v>
      </c>
      <c r="AN2" s="225">
        <v>3</v>
      </c>
      <c r="AO2" s="225">
        <v>4</v>
      </c>
      <c r="AP2" s="225"/>
      <c r="AQ2" s="225" t="s">
        <v>65</v>
      </c>
      <c r="AR2" s="225" t="s">
        <v>61</v>
      </c>
      <c r="AS2" s="225" t="s">
        <v>62</v>
      </c>
      <c r="AT2" s="225" t="s">
        <v>63</v>
      </c>
      <c r="AU2" s="225" t="s">
        <v>64</v>
      </c>
      <c r="AW2" s="104" t="s">
        <v>58</v>
      </c>
      <c r="AX2" s="109" t="s">
        <v>59</v>
      </c>
      <c r="AY2" s="104" t="s">
        <v>60</v>
      </c>
      <c r="BA2" s="76" t="s">
        <v>88</v>
      </c>
      <c r="BD2" s="110">
        <f>VLOOKUP(F2,Lønniveauer,3,FALSE)</f>
        <v>1</v>
      </c>
      <c r="BF2" s="168" t="s">
        <v>65</v>
      </c>
      <c r="BG2" s="168" t="s">
        <v>61</v>
      </c>
      <c r="BH2" s="168" t="s">
        <v>62</v>
      </c>
      <c r="BI2" s="168" t="s">
        <v>63</v>
      </c>
      <c r="BJ2" s="168" t="s">
        <v>64</v>
      </c>
      <c r="BL2" s="104" t="s">
        <v>57</v>
      </c>
      <c r="BM2" s="168" t="s">
        <v>65</v>
      </c>
      <c r="BN2" s="168" t="s">
        <v>61</v>
      </c>
      <c r="BO2" s="168" t="s">
        <v>62</v>
      </c>
      <c r="BP2" s="168" t="s">
        <v>63</v>
      </c>
      <c r="BQ2" s="168" t="s">
        <v>64</v>
      </c>
      <c r="BS2" s="104" t="s">
        <v>57</v>
      </c>
      <c r="BT2" s="168" t="s">
        <v>65</v>
      </c>
      <c r="BU2" s="168" t="s">
        <v>61</v>
      </c>
      <c r="BV2" s="168" t="s">
        <v>62</v>
      </c>
      <c r="BW2" s="168" t="s">
        <v>63</v>
      </c>
      <c r="BX2" s="168" t="s">
        <v>64</v>
      </c>
      <c r="BZ2" s="104" t="s">
        <v>57</v>
      </c>
      <c r="CA2" s="168" t="s">
        <v>65</v>
      </c>
      <c r="CB2" s="168" t="s">
        <v>61</v>
      </c>
      <c r="CC2" s="168" t="s">
        <v>62</v>
      </c>
      <c r="CD2" s="168" t="s">
        <v>63</v>
      </c>
      <c r="CE2" s="168" t="s">
        <v>64</v>
      </c>
      <c r="CH2" s="168" t="s">
        <v>113</v>
      </c>
      <c r="CM2" s="226">
        <f>beregningsdato</f>
        <v>45748</v>
      </c>
      <c r="CN2">
        <f>VLOOKUP(CM2,$CH$11:$CI$14,2,TRUE)</f>
        <v>4</v>
      </c>
      <c r="CQ2" s="184" t="s">
        <v>136</v>
      </c>
    </row>
    <row r="3" spans="1:97" customFormat="1" ht="15" thickBot="1" x14ac:dyDescent="0.4">
      <c r="A3" s="227" t="s">
        <v>57</v>
      </c>
      <c r="B3" s="5">
        <v>0</v>
      </c>
      <c r="C3" s="5">
        <v>1</v>
      </c>
      <c r="D3" s="5">
        <v>2</v>
      </c>
      <c r="E3" s="5">
        <v>3</v>
      </c>
      <c r="F3" s="5">
        <v>4</v>
      </c>
      <c r="G3" s="228"/>
      <c r="H3" s="5"/>
      <c r="I3" s="5"/>
      <c r="J3" s="5"/>
      <c r="K3" s="5"/>
      <c r="L3" s="76"/>
      <c r="M3" s="79">
        <v>0</v>
      </c>
      <c r="N3" s="79">
        <v>1</v>
      </c>
      <c r="O3" s="79">
        <v>2</v>
      </c>
      <c r="P3" s="79">
        <v>3</v>
      </c>
      <c r="Q3" s="79">
        <v>4</v>
      </c>
      <c r="S3" s="79" t="s">
        <v>66</v>
      </c>
      <c r="T3" s="79" t="s">
        <v>67</v>
      </c>
      <c r="U3" s="79" t="s">
        <v>68</v>
      </c>
      <c r="V3" s="79" t="s">
        <v>69</v>
      </c>
      <c r="Y3" s="182">
        <f>VLOOKUP(beregningsdato,Lavtløn,2,TRUE)</f>
        <v>2303</v>
      </c>
      <c r="Z3" s="111">
        <f>valgt_regulering-1</f>
        <v>0.59815900000000011</v>
      </c>
      <c r="AA3" s="163">
        <v>43556</v>
      </c>
      <c r="AB3" s="163">
        <v>44652</v>
      </c>
      <c r="AC3" s="182">
        <f>VLOOKUP(beregningsdato,Lavtløn,3,TRUE)</f>
        <v>1268</v>
      </c>
      <c r="AL3" s="108">
        <f>IF(beregningsdato&lt;40087,0,regulering)</f>
        <v>0.59815900000000011</v>
      </c>
      <c r="AM3">
        <f>IF(beregningsdato&lt;40087,0,5)</f>
        <v>5</v>
      </c>
      <c r="AS3" s="112"/>
      <c r="AT3" s="112"/>
      <c r="AU3" s="112"/>
      <c r="AX3" s="113"/>
      <c r="BA3" s="76"/>
      <c r="BB3" s="76"/>
      <c r="BC3" s="76"/>
      <c r="BD3" s="76"/>
      <c r="BE3" s="76"/>
      <c r="BF3" s="76"/>
      <c r="BG3" s="76"/>
      <c r="BH3" s="76"/>
      <c r="BI3" s="76"/>
      <c r="BJ3" s="76"/>
      <c r="CH3" s="167">
        <v>43555</v>
      </c>
      <c r="CI3" s="166">
        <v>0</v>
      </c>
      <c r="CJ3" s="166">
        <v>0</v>
      </c>
      <c r="CL3" s="183"/>
      <c r="CM3" s="184" t="s">
        <v>122</v>
      </c>
      <c r="CO3" s="184" t="s">
        <v>123</v>
      </c>
      <c r="CP3" s="183"/>
      <c r="CQ3" s="184" t="s">
        <v>124</v>
      </c>
      <c r="CR3" s="184" t="s">
        <v>125</v>
      </c>
      <c r="CS3" s="184" t="s">
        <v>126</v>
      </c>
    </row>
    <row r="4" spans="1:97" customFormat="1" ht="14.5" x14ac:dyDescent="0.35">
      <c r="A4">
        <v>1</v>
      </c>
      <c r="B4" s="217">
        <f>AQ4/12</f>
        <v>19603.25</v>
      </c>
      <c r="C4" s="217">
        <f t="shared" ref="C4:F35" si="0">AR4/12</f>
        <v>19880.5</v>
      </c>
      <c r="D4" s="217">
        <f t="shared" si="0"/>
        <v>20072.416666666668</v>
      </c>
      <c r="E4" s="217">
        <f t="shared" si="0"/>
        <v>20349.833333333332</v>
      </c>
      <c r="F4" s="217">
        <f t="shared" si="0"/>
        <v>20541.75</v>
      </c>
      <c r="G4" s="228"/>
      <c r="H4" s="82"/>
      <c r="I4" s="82"/>
      <c r="J4" s="82"/>
      <c r="K4" s="82"/>
      <c r="L4" s="76">
        <v>1</v>
      </c>
      <c r="M4" s="229">
        <f t="shared" ref="M4:Q35" si="1">BF4/12</f>
        <v>19603.25</v>
      </c>
      <c r="N4" s="229">
        <f t="shared" si="1"/>
        <v>19880.5</v>
      </c>
      <c r="O4" s="229">
        <f t="shared" si="1"/>
        <v>20072.416666666668</v>
      </c>
      <c r="P4" s="229">
        <f t="shared" si="1"/>
        <v>20349.833333333332</v>
      </c>
      <c r="Q4" s="229">
        <f t="shared" si="1"/>
        <v>20541.75</v>
      </c>
      <c r="S4" s="80">
        <f t="shared" ref="S4:S35" si="2">(BF4+ROUND((BG4-BF4)/3*faktor,0))/12</f>
        <v>14493347.083333334</v>
      </c>
      <c r="T4" s="80">
        <f t="shared" ref="T4:T35" si="3">(BG4+ROUND((BH4-BG4)/3*faktor,0))/12</f>
        <v>10038826.083333334</v>
      </c>
      <c r="U4" s="80">
        <f t="shared" ref="U4:U35" si="4">(BH4+ROUND((BI4-BH4)/3*faktor,0))/12</f>
        <v>14502517</v>
      </c>
      <c r="V4" s="80">
        <f t="shared" ref="V4:V35" si="5">(BI4+ROUND((BJ4-BI4)/3*faktor,0))/12</f>
        <v>10039295.416666666</v>
      </c>
      <c r="X4" s="104">
        <v>1</v>
      </c>
      <c r="Y4" s="114">
        <v>147194</v>
      </c>
      <c r="Z4" s="115">
        <f t="shared" ref="Z4:Z35" si="6">VLOOKUP(X4,grundsats_inkl._lavtløn,2,FALSE)</f>
        <v>147194</v>
      </c>
      <c r="AA4" s="116">
        <f t="shared" ref="AA4:AA35" si="7">ROUND(Z4*(1+regulering),0)</f>
        <v>235239</v>
      </c>
      <c r="AB4" s="114">
        <v>2585</v>
      </c>
      <c r="AC4" s="115">
        <v>4374</v>
      </c>
      <c r="AD4" s="115">
        <v>6959</v>
      </c>
      <c r="AE4" s="116">
        <v>8748</v>
      </c>
      <c r="AF4" s="115"/>
      <c r="AG4" s="115">
        <v>2082</v>
      </c>
      <c r="AH4" s="115">
        <v>3523</v>
      </c>
      <c r="AI4" s="115">
        <v>5606</v>
      </c>
      <c r="AJ4" s="115">
        <v>7047</v>
      </c>
      <c r="AK4" s="115"/>
      <c r="AL4" s="115">
        <f t="shared" ref="AL4:AO23" si="8">ROUND(VLOOKUP($X4,$X:$AJ,(4+AL$2)+$AM$3)*(1+$AL$3),0)</f>
        <v>3327</v>
      </c>
      <c r="AM4" s="115">
        <f t="shared" si="8"/>
        <v>5630</v>
      </c>
      <c r="AN4" s="115">
        <f t="shared" si="8"/>
        <v>8959</v>
      </c>
      <c r="AO4" s="115">
        <f t="shared" si="8"/>
        <v>11262</v>
      </c>
      <c r="AP4" s="115"/>
      <c r="AQ4" s="114">
        <f t="shared" ref="AQ4:AQ59" si="9">$AA4</f>
        <v>235239</v>
      </c>
      <c r="AR4" s="117">
        <f t="shared" ref="AR4:AU35" si="10">$AA4+AL4</f>
        <v>238566</v>
      </c>
      <c r="AS4" s="118">
        <f t="shared" si="10"/>
        <v>240869</v>
      </c>
      <c r="AT4" s="118">
        <f t="shared" si="10"/>
        <v>244198</v>
      </c>
      <c r="AU4" s="119">
        <f t="shared" si="10"/>
        <v>246501</v>
      </c>
      <c r="AW4" s="114">
        <v>147194</v>
      </c>
      <c r="AX4" s="118">
        <f t="shared" ref="AX4:AX13" si="11">AW4*regulering</f>
        <v>88045.415846000018</v>
      </c>
      <c r="AY4" s="119">
        <f t="shared" ref="AY4:AY13" si="12">ROUND(SUM(AW4:AX4),0)</f>
        <v>235239</v>
      </c>
      <c r="BA4" s="81">
        <f t="shared" ref="BA4:BA35" si="13">ROUND(AL4*udbygningspct,0)</f>
        <v>3327</v>
      </c>
      <c r="BB4" s="81">
        <f t="shared" ref="BB4:BB35" si="14">ROUND(AM4*udbygningspct,0)</f>
        <v>5630</v>
      </c>
      <c r="BC4" s="81">
        <f t="shared" ref="BC4:BC35" si="15">ROUND(AN4*udbygningspct,0)</f>
        <v>8959</v>
      </c>
      <c r="BD4" s="81">
        <f t="shared" ref="BD4:BD35" si="16">ROUND(AO4*udbygningspct,0)</f>
        <v>11262</v>
      </c>
      <c r="BE4" s="76"/>
      <c r="BF4" s="81">
        <f t="shared" ref="BF4:BF59" si="17">AY4</f>
        <v>235239</v>
      </c>
      <c r="BG4" s="81">
        <f t="shared" ref="BG4:BJ35" si="18">$BF4+BA4</f>
        <v>238566</v>
      </c>
      <c r="BH4" s="81">
        <f t="shared" si="18"/>
        <v>240869</v>
      </c>
      <c r="BI4" s="81">
        <f t="shared" si="18"/>
        <v>244198</v>
      </c>
      <c r="BJ4" s="81">
        <f t="shared" si="18"/>
        <v>246501</v>
      </c>
      <c r="BL4" s="104">
        <v>1</v>
      </c>
      <c r="BM4" s="82">
        <f t="shared" ref="BM4:BQ19" si="19">ROUND(AQ4/1924,2)</f>
        <v>122.27</v>
      </c>
      <c r="BN4" s="82">
        <f t="shared" si="19"/>
        <v>123.99</v>
      </c>
      <c r="BO4" s="82">
        <f t="shared" si="19"/>
        <v>125.19</v>
      </c>
      <c r="BP4" s="82">
        <f t="shared" si="19"/>
        <v>126.92</v>
      </c>
      <c r="BQ4" s="82">
        <f t="shared" si="19"/>
        <v>128.12</v>
      </c>
      <c r="BS4" s="104">
        <v>1</v>
      </c>
      <c r="BT4" s="82">
        <f t="shared" ref="BT4:BX35" si="20">AQ4/1924*1.5</f>
        <v>183.39838877338877</v>
      </c>
      <c r="BU4" s="82">
        <f t="shared" si="20"/>
        <v>185.99220374220374</v>
      </c>
      <c r="BV4" s="82">
        <f t="shared" si="20"/>
        <v>187.7876819126819</v>
      </c>
      <c r="BW4" s="82">
        <f t="shared" si="20"/>
        <v>190.38305613305613</v>
      </c>
      <c r="BX4" s="82">
        <f t="shared" si="20"/>
        <v>192.17853430353432</v>
      </c>
      <c r="BZ4" s="104">
        <v>1</v>
      </c>
      <c r="CA4" s="82">
        <f t="shared" ref="CA4:CE35" si="21">AQ4/1924/2</f>
        <v>61.132796257796258</v>
      </c>
      <c r="CB4" s="82">
        <f t="shared" si="21"/>
        <v>61.99740124740125</v>
      </c>
      <c r="CC4" s="82">
        <f t="shared" si="21"/>
        <v>62.595893970893968</v>
      </c>
      <c r="CD4" s="82">
        <f t="shared" si="21"/>
        <v>63.46101871101871</v>
      </c>
      <c r="CE4" s="82">
        <f t="shared" si="21"/>
        <v>64.059511434511435</v>
      </c>
      <c r="CF4" s="185" t="s">
        <v>127</v>
      </c>
      <c r="CH4" s="167">
        <v>43556</v>
      </c>
      <c r="CI4" s="166">
        <v>382</v>
      </c>
      <c r="CJ4" s="166">
        <v>382</v>
      </c>
      <c r="CL4" s="183">
        <v>1</v>
      </c>
      <c r="CM4" s="183">
        <f>CO4+VLOOKUP(CL4,$CN:$CS,2+$CN$2,FALSE)</f>
        <v>147194</v>
      </c>
      <c r="CN4" s="183">
        <v>1</v>
      </c>
      <c r="CO4" s="183">
        <v>147194</v>
      </c>
      <c r="CP4" s="183"/>
      <c r="CQ4" s="183"/>
      <c r="CR4" s="183"/>
      <c r="CS4" s="183"/>
    </row>
    <row r="5" spans="1:97" customFormat="1" ht="14.5" x14ac:dyDescent="0.35">
      <c r="A5">
        <v>2</v>
      </c>
      <c r="B5" s="217">
        <f t="shared" ref="B5:F36" si="22">AQ5/12</f>
        <v>19904.416666666668</v>
      </c>
      <c r="C5" s="217">
        <f t="shared" si="0"/>
        <v>20188.5</v>
      </c>
      <c r="D5" s="217">
        <f t="shared" si="0"/>
        <v>20385.083333333332</v>
      </c>
      <c r="E5" s="217">
        <f t="shared" si="0"/>
        <v>20669.166666666668</v>
      </c>
      <c r="F5" s="217">
        <f t="shared" si="0"/>
        <v>20865.75</v>
      </c>
      <c r="G5" s="228"/>
      <c r="H5" s="82"/>
      <c r="I5" s="82"/>
      <c r="J5" s="82"/>
      <c r="K5" s="82"/>
      <c r="L5" s="76">
        <v>2</v>
      </c>
      <c r="M5" s="229">
        <f t="shared" si="1"/>
        <v>19904.416666666668</v>
      </c>
      <c r="N5" s="229">
        <f t="shared" si="1"/>
        <v>20188.5</v>
      </c>
      <c r="O5" s="229">
        <f t="shared" si="1"/>
        <v>20385.083333333332</v>
      </c>
      <c r="P5" s="229">
        <f t="shared" si="1"/>
        <v>20669.166666666668</v>
      </c>
      <c r="Q5" s="229">
        <f t="shared" si="1"/>
        <v>20865.75</v>
      </c>
      <c r="S5" s="80">
        <f t="shared" si="2"/>
        <v>14850380.166666666</v>
      </c>
      <c r="T5" s="80">
        <f t="shared" si="3"/>
        <v>10282755.916666666</v>
      </c>
      <c r="U5" s="80">
        <f t="shared" si="4"/>
        <v>14850860.833333334</v>
      </c>
      <c r="V5" s="80">
        <f t="shared" si="5"/>
        <v>10283236.583333334</v>
      </c>
      <c r="X5" s="104">
        <v>2</v>
      </c>
      <c r="Y5" s="114">
        <v>149455</v>
      </c>
      <c r="Z5" s="115">
        <f t="shared" si="6"/>
        <v>149455</v>
      </c>
      <c r="AA5" s="116">
        <f t="shared" si="7"/>
        <v>238853</v>
      </c>
      <c r="AB5" s="114">
        <v>2648</v>
      </c>
      <c r="AC5" s="115">
        <v>4481</v>
      </c>
      <c r="AD5" s="115">
        <v>7128</v>
      </c>
      <c r="AE5" s="116">
        <v>8961</v>
      </c>
      <c r="AF5" s="115"/>
      <c r="AG5" s="115">
        <v>2133</v>
      </c>
      <c r="AH5" s="115">
        <v>3609</v>
      </c>
      <c r="AI5" s="115">
        <v>5742</v>
      </c>
      <c r="AJ5" s="115">
        <v>7218</v>
      </c>
      <c r="AK5" s="115"/>
      <c r="AL5" s="115">
        <f t="shared" si="8"/>
        <v>3409</v>
      </c>
      <c r="AM5" s="115">
        <f t="shared" si="8"/>
        <v>5768</v>
      </c>
      <c r="AN5" s="115">
        <f t="shared" si="8"/>
        <v>9177</v>
      </c>
      <c r="AO5" s="115">
        <f t="shared" si="8"/>
        <v>11536</v>
      </c>
      <c r="AP5" s="115"/>
      <c r="AQ5" s="114">
        <f t="shared" si="9"/>
        <v>238853</v>
      </c>
      <c r="AR5" s="117">
        <f t="shared" si="10"/>
        <v>242262</v>
      </c>
      <c r="AS5" s="118">
        <f t="shared" si="10"/>
        <v>244621</v>
      </c>
      <c r="AT5" s="118">
        <f t="shared" si="10"/>
        <v>248030</v>
      </c>
      <c r="AU5" s="119">
        <f t="shared" si="10"/>
        <v>250389</v>
      </c>
      <c r="AW5" s="114">
        <v>149455</v>
      </c>
      <c r="AX5" s="118">
        <f t="shared" si="11"/>
        <v>89397.85334500001</v>
      </c>
      <c r="AY5" s="119">
        <f t="shared" si="12"/>
        <v>238853</v>
      </c>
      <c r="BA5" s="81">
        <f t="shared" si="13"/>
        <v>3409</v>
      </c>
      <c r="BB5" s="81">
        <f t="shared" si="14"/>
        <v>5768</v>
      </c>
      <c r="BC5" s="81">
        <f t="shared" si="15"/>
        <v>9177</v>
      </c>
      <c r="BD5" s="81">
        <f t="shared" si="16"/>
        <v>11536</v>
      </c>
      <c r="BE5" s="76"/>
      <c r="BF5" s="81">
        <f t="shared" si="17"/>
        <v>238853</v>
      </c>
      <c r="BG5" s="81">
        <f t="shared" si="18"/>
        <v>242262</v>
      </c>
      <c r="BH5" s="81">
        <f t="shared" si="18"/>
        <v>244621</v>
      </c>
      <c r="BI5" s="81">
        <f t="shared" si="18"/>
        <v>248030</v>
      </c>
      <c r="BJ5" s="81">
        <f t="shared" si="18"/>
        <v>250389</v>
      </c>
      <c r="BL5" s="104">
        <v>2</v>
      </c>
      <c r="BM5" s="82">
        <f t="shared" si="19"/>
        <v>124.14</v>
      </c>
      <c r="BN5" s="82">
        <f t="shared" si="19"/>
        <v>125.92</v>
      </c>
      <c r="BO5" s="82">
        <f t="shared" si="19"/>
        <v>127.14</v>
      </c>
      <c r="BP5" s="82">
        <f t="shared" si="19"/>
        <v>128.91</v>
      </c>
      <c r="BQ5" s="82">
        <f t="shared" si="19"/>
        <v>130.13999999999999</v>
      </c>
      <c r="BS5" s="104">
        <v>2</v>
      </c>
      <c r="BT5" s="82">
        <f t="shared" si="20"/>
        <v>186.21595634095632</v>
      </c>
      <c r="BU5" s="82">
        <f t="shared" si="20"/>
        <v>188.87370062370064</v>
      </c>
      <c r="BV5" s="82">
        <f t="shared" si="20"/>
        <v>190.71283783783784</v>
      </c>
      <c r="BW5" s="82">
        <f t="shared" si="20"/>
        <v>193.37058212058213</v>
      </c>
      <c r="BX5" s="82">
        <f t="shared" si="20"/>
        <v>195.20971933471935</v>
      </c>
      <c r="BZ5" s="104">
        <v>2</v>
      </c>
      <c r="CA5" s="82">
        <f t="shared" si="21"/>
        <v>62.071985446985444</v>
      </c>
      <c r="CB5" s="82">
        <f t="shared" si="21"/>
        <v>62.957900207900209</v>
      </c>
      <c r="CC5" s="82">
        <f t="shared" si="21"/>
        <v>63.570945945945944</v>
      </c>
      <c r="CD5" s="82">
        <f t="shared" si="21"/>
        <v>64.456860706860709</v>
      </c>
      <c r="CE5" s="82">
        <f t="shared" si="21"/>
        <v>65.069906444906451</v>
      </c>
      <c r="CF5" t="s">
        <v>128</v>
      </c>
      <c r="CH5" s="167">
        <v>44652</v>
      </c>
      <c r="CI5" s="166">
        <f>CI4+CJ5</f>
        <v>1035</v>
      </c>
      <c r="CJ5" s="166">
        <v>653</v>
      </c>
      <c r="CL5" s="183">
        <v>2</v>
      </c>
      <c r="CM5" s="183">
        <f t="shared" ref="CM5:CM59" si="23">CO5+VLOOKUP(CL5,$CN:$CS,2+$CN$2,FALSE)</f>
        <v>149455</v>
      </c>
      <c r="CN5" s="183">
        <v>2</v>
      </c>
      <c r="CO5" s="183">
        <v>149455</v>
      </c>
      <c r="CP5" s="183"/>
      <c r="CQ5" s="183"/>
      <c r="CR5" s="183"/>
      <c r="CS5" s="183"/>
    </row>
    <row r="6" spans="1:97" customFormat="1" ht="14.5" x14ac:dyDescent="0.35">
      <c r="A6">
        <v>3</v>
      </c>
      <c r="B6" s="217">
        <f t="shared" si="22"/>
        <v>20213.666666666668</v>
      </c>
      <c r="C6" s="217">
        <f t="shared" si="0"/>
        <v>20504.5</v>
      </c>
      <c r="D6" s="217">
        <f t="shared" si="0"/>
        <v>20706</v>
      </c>
      <c r="E6" s="217">
        <f t="shared" si="0"/>
        <v>20996.916666666668</v>
      </c>
      <c r="F6" s="217">
        <f t="shared" si="0"/>
        <v>21198.5</v>
      </c>
      <c r="G6" s="228"/>
      <c r="H6" s="82"/>
      <c r="I6" s="82"/>
      <c r="J6" s="82"/>
      <c r="K6" s="82"/>
      <c r="L6" s="76">
        <v>3</v>
      </c>
      <c r="M6" s="229">
        <f t="shared" si="1"/>
        <v>20213.666666666668</v>
      </c>
      <c r="N6" s="229">
        <f t="shared" si="1"/>
        <v>20504.5</v>
      </c>
      <c r="O6" s="229">
        <f t="shared" si="1"/>
        <v>20706</v>
      </c>
      <c r="P6" s="229">
        <f t="shared" si="1"/>
        <v>20996.916666666668</v>
      </c>
      <c r="Q6" s="229">
        <f t="shared" si="1"/>
        <v>21198.5</v>
      </c>
      <c r="S6" s="80">
        <f t="shared" si="2"/>
        <v>15203070.916666666</v>
      </c>
      <c r="T6" s="80">
        <f t="shared" si="3"/>
        <v>10539744.833333334</v>
      </c>
      <c r="U6" s="80">
        <f t="shared" si="4"/>
        <v>15207913.583333334</v>
      </c>
      <c r="V6" s="80">
        <f t="shared" si="5"/>
        <v>10544587.666666666</v>
      </c>
      <c r="X6" s="104">
        <v>3</v>
      </c>
      <c r="Y6" s="114">
        <v>151777</v>
      </c>
      <c r="Z6" s="115">
        <f t="shared" si="6"/>
        <v>151777</v>
      </c>
      <c r="AA6" s="116">
        <f t="shared" si="7"/>
        <v>242564</v>
      </c>
      <c r="AB6" s="114">
        <v>2711</v>
      </c>
      <c r="AC6" s="115">
        <v>4590</v>
      </c>
      <c r="AD6" s="115">
        <v>7301</v>
      </c>
      <c r="AE6" s="116">
        <v>9180</v>
      </c>
      <c r="AF6" s="115"/>
      <c r="AG6" s="115">
        <v>2184</v>
      </c>
      <c r="AH6" s="115">
        <v>3697</v>
      </c>
      <c r="AI6" s="115">
        <v>5881</v>
      </c>
      <c r="AJ6" s="115">
        <v>7395</v>
      </c>
      <c r="AK6" s="115"/>
      <c r="AL6" s="115">
        <f t="shared" si="8"/>
        <v>3490</v>
      </c>
      <c r="AM6" s="115">
        <f t="shared" si="8"/>
        <v>5908</v>
      </c>
      <c r="AN6" s="115">
        <f t="shared" si="8"/>
        <v>9399</v>
      </c>
      <c r="AO6" s="115">
        <f t="shared" si="8"/>
        <v>11818</v>
      </c>
      <c r="AP6" s="115"/>
      <c r="AQ6" s="114">
        <f t="shared" si="9"/>
        <v>242564</v>
      </c>
      <c r="AR6" s="117">
        <f t="shared" si="10"/>
        <v>246054</v>
      </c>
      <c r="AS6" s="118">
        <f t="shared" si="10"/>
        <v>248472</v>
      </c>
      <c r="AT6" s="118">
        <f t="shared" si="10"/>
        <v>251963</v>
      </c>
      <c r="AU6" s="119">
        <f t="shared" si="10"/>
        <v>254382</v>
      </c>
      <c r="AW6" s="114">
        <v>151777</v>
      </c>
      <c r="AX6" s="118">
        <f t="shared" si="11"/>
        <v>90786.778543000022</v>
      </c>
      <c r="AY6" s="119">
        <f t="shared" si="12"/>
        <v>242564</v>
      </c>
      <c r="BA6" s="81">
        <f t="shared" si="13"/>
        <v>3490</v>
      </c>
      <c r="BB6" s="81">
        <f t="shared" si="14"/>
        <v>5908</v>
      </c>
      <c r="BC6" s="81">
        <f t="shared" si="15"/>
        <v>9399</v>
      </c>
      <c r="BD6" s="81">
        <f t="shared" si="16"/>
        <v>11818</v>
      </c>
      <c r="BE6" s="76"/>
      <c r="BF6" s="81">
        <f t="shared" si="17"/>
        <v>242564</v>
      </c>
      <c r="BG6" s="81">
        <f t="shared" si="18"/>
        <v>246054</v>
      </c>
      <c r="BH6" s="81">
        <f t="shared" si="18"/>
        <v>248472</v>
      </c>
      <c r="BI6" s="81">
        <f t="shared" si="18"/>
        <v>251963</v>
      </c>
      <c r="BJ6" s="81">
        <f t="shared" si="18"/>
        <v>254382</v>
      </c>
      <c r="BL6" s="104">
        <v>3</v>
      </c>
      <c r="BM6" s="82">
        <f t="shared" si="19"/>
        <v>126.07</v>
      </c>
      <c r="BN6" s="82">
        <f t="shared" si="19"/>
        <v>127.89</v>
      </c>
      <c r="BO6" s="82">
        <f t="shared" si="19"/>
        <v>129.13999999999999</v>
      </c>
      <c r="BP6" s="82">
        <f t="shared" si="19"/>
        <v>130.96</v>
      </c>
      <c r="BQ6" s="82">
        <f t="shared" si="19"/>
        <v>132.22</v>
      </c>
      <c r="BS6" s="104">
        <v>3</v>
      </c>
      <c r="BT6" s="82">
        <f t="shared" si="20"/>
        <v>189.10914760914761</v>
      </c>
      <c r="BU6" s="82">
        <f t="shared" si="20"/>
        <v>191.83004158004158</v>
      </c>
      <c r="BV6" s="82">
        <f t="shared" si="20"/>
        <v>193.71517671517671</v>
      </c>
      <c r="BW6" s="82">
        <f t="shared" si="20"/>
        <v>196.43685031185029</v>
      </c>
      <c r="BX6" s="82">
        <f t="shared" si="20"/>
        <v>198.32276507276507</v>
      </c>
      <c r="BZ6" s="104">
        <v>3</v>
      </c>
      <c r="CA6" s="82">
        <f t="shared" si="21"/>
        <v>63.03638253638254</v>
      </c>
      <c r="CB6" s="82">
        <f t="shared" si="21"/>
        <v>63.943347193347194</v>
      </c>
      <c r="CC6" s="82">
        <f t="shared" si="21"/>
        <v>64.571725571725565</v>
      </c>
      <c r="CD6" s="82">
        <f t="shared" si="21"/>
        <v>65.478950103950098</v>
      </c>
      <c r="CE6" s="82">
        <f t="shared" si="21"/>
        <v>66.107588357588355</v>
      </c>
      <c r="CF6" t="s">
        <v>129</v>
      </c>
      <c r="CG6" s="185">
        <v>41944</v>
      </c>
      <c r="CH6" s="167">
        <v>45748</v>
      </c>
      <c r="CI6" s="166">
        <f>CI5+CJ6</f>
        <v>2303</v>
      </c>
      <c r="CJ6" s="166">
        <v>1268</v>
      </c>
      <c r="CL6" s="183">
        <v>3</v>
      </c>
      <c r="CM6" s="183">
        <f t="shared" si="23"/>
        <v>151777</v>
      </c>
      <c r="CN6" s="183">
        <v>3</v>
      </c>
      <c r="CO6" s="183">
        <v>151777</v>
      </c>
      <c r="CP6" s="183"/>
      <c r="CQ6" s="183"/>
      <c r="CR6" s="183"/>
      <c r="CS6" s="183"/>
    </row>
    <row r="7" spans="1:97" customFormat="1" ht="14.5" x14ac:dyDescent="0.35">
      <c r="A7">
        <v>4</v>
      </c>
      <c r="B7" s="217">
        <f t="shared" si="22"/>
        <v>20531.416666666668</v>
      </c>
      <c r="C7" s="217">
        <f t="shared" si="0"/>
        <v>20829.583333333332</v>
      </c>
      <c r="D7" s="217">
        <f t="shared" si="0"/>
        <v>21035.916666666668</v>
      </c>
      <c r="E7" s="217">
        <f t="shared" si="0"/>
        <v>21334.083333333332</v>
      </c>
      <c r="F7" s="217">
        <f t="shared" si="0"/>
        <v>21540.416666666668</v>
      </c>
      <c r="G7" s="228"/>
      <c r="H7" s="82"/>
      <c r="I7" s="82"/>
      <c r="J7" s="82"/>
      <c r="K7" s="82"/>
      <c r="L7" s="76">
        <v>4</v>
      </c>
      <c r="M7" s="229">
        <f t="shared" si="1"/>
        <v>20531.416666666668</v>
      </c>
      <c r="N7" s="229">
        <f t="shared" si="1"/>
        <v>20829.583333333332</v>
      </c>
      <c r="O7" s="229">
        <f t="shared" si="1"/>
        <v>21035.916666666668</v>
      </c>
      <c r="P7" s="229">
        <f t="shared" si="1"/>
        <v>21334.083333333332</v>
      </c>
      <c r="Q7" s="229">
        <f t="shared" si="1"/>
        <v>21540.416666666668</v>
      </c>
      <c r="S7" s="80">
        <f t="shared" si="2"/>
        <v>15586222.833333334</v>
      </c>
      <c r="T7" s="80">
        <f t="shared" si="3"/>
        <v>10792392.5</v>
      </c>
      <c r="U7" s="80">
        <f t="shared" si="4"/>
        <v>15586727.333333334</v>
      </c>
      <c r="V7" s="80">
        <f t="shared" si="5"/>
        <v>10792897</v>
      </c>
      <c r="X7" s="104">
        <v>4</v>
      </c>
      <c r="Y7" s="114">
        <v>154163</v>
      </c>
      <c r="Z7" s="115">
        <f t="shared" si="6"/>
        <v>154163</v>
      </c>
      <c r="AA7" s="116">
        <f t="shared" si="7"/>
        <v>246377</v>
      </c>
      <c r="AB7" s="114">
        <v>2779</v>
      </c>
      <c r="AC7" s="115">
        <v>4703</v>
      </c>
      <c r="AD7" s="115">
        <v>7482</v>
      </c>
      <c r="AE7" s="116">
        <v>9405</v>
      </c>
      <c r="AF7" s="115"/>
      <c r="AG7" s="115">
        <v>2239</v>
      </c>
      <c r="AH7" s="115">
        <v>3788</v>
      </c>
      <c r="AI7" s="115">
        <v>6027</v>
      </c>
      <c r="AJ7" s="115">
        <v>7576</v>
      </c>
      <c r="AK7" s="115"/>
      <c r="AL7" s="115">
        <f t="shared" si="8"/>
        <v>3578</v>
      </c>
      <c r="AM7" s="115">
        <f t="shared" si="8"/>
        <v>6054</v>
      </c>
      <c r="AN7" s="115">
        <f t="shared" si="8"/>
        <v>9632</v>
      </c>
      <c r="AO7" s="115">
        <f t="shared" si="8"/>
        <v>12108</v>
      </c>
      <c r="AP7" s="115"/>
      <c r="AQ7" s="114">
        <f t="shared" si="9"/>
        <v>246377</v>
      </c>
      <c r="AR7" s="117">
        <f t="shared" si="10"/>
        <v>249955</v>
      </c>
      <c r="AS7" s="118">
        <f t="shared" si="10"/>
        <v>252431</v>
      </c>
      <c r="AT7" s="118">
        <f t="shared" si="10"/>
        <v>256009</v>
      </c>
      <c r="AU7" s="119">
        <f t="shared" si="10"/>
        <v>258485</v>
      </c>
      <c r="AW7" s="114">
        <v>154163</v>
      </c>
      <c r="AX7" s="118">
        <f t="shared" si="11"/>
        <v>92213.985917000013</v>
      </c>
      <c r="AY7" s="119">
        <f t="shared" si="12"/>
        <v>246377</v>
      </c>
      <c r="BA7" s="81">
        <f t="shared" si="13"/>
        <v>3578</v>
      </c>
      <c r="BB7" s="81">
        <f t="shared" si="14"/>
        <v>6054</v>
      </c>
      <c r="BC7" s="81">
        <f t="shared" si="15"/>
        <v>9632</v>
      </c>
      <c r="BD7" s="81">
        <f t="shared" si="16"/>
        <v>12108</v>
      </c>
      <c r="BE7" s="76"/>
      <c r="BF7" s="81">
        <f t="shared" si="17"/>
        <v>246377</v>
      </c>
      <c r="BG7" s="81">
        <f t="shared" si="18"/>
        <v>249955</v>
      </c>
      <c r="BH7" s="81">
        <f t="shared" si="18"/>
        <v>252431</v>
      </c>
      <c r="BI7" s="81">
        <f t="shared" si="18"/>
        <v>256009</v>
      </c>
      <c r="BJ7" s="81">
        <f t="shared" si="18"/>
        <v>258485</v>
      </c>
      <c r="BL7" s="104">
        <v>4</v>
      </c>
      <c r="BM7" s="82">
        <f t="shared" si="19"/>
        <v>128.05000000000001</v>
      </c>
      <c r="BN7" s="82">
        <f t="shared" si="19"/>
        <v>129.91</v>
      </c>
      <c r="BO7" s="82">
        <f t="shared" si="19"/>
        <v>131.19999999999999</v>
      </c>
      <c r="BP7" s="82">
        <f t="shared" si="19"/>
        <v>133.06</v>
      </c>
      <c r="BQ7" s="82">
        <f t="shared" si="19"/>
        <v>134.35</v>
      </c>
      <c r="BS7" s="104">
        <v>4</v>
      </c>
      <c r="BT7" s="82">
        <f t="shared" si="20"/>
        <v>192.08186070686071</v>
      </c>
      <c r="BU7" s="82">
        <f t="shared" si="20"/>
        <v>194.87136174636174</v>
      </c>
      <c r="BV7" s="82">
        <f t="shared" si="20"/>
        <v>196.80171517671516</v>
      </c>
      <c r="BW7" s="82">
        <f t="shared" si="20"/>
        <v>199.5912162162162</v>
      </c>
      <c r="BX7" s="82">
        <f t="shared" si="20"/>
        <v>201.52156964656965</v>
      </c>
      <c r="BZ7" s="104">
        <v>4</v>
      </c>
      <c r="CA7" s="82">
        <f t="shared" si="21"/>
        <v>64.027286902286903</v>
      </c>
      <c r="CB7" s="82">
        <f t="shared" si="21"/>
        <v>64.957120582120581</v>
      </c>
      <c r="CC7" s="82">
        <f t="shared" si="21"/>
        <v>65.600571725571726</v>
      </c>
      <c r="CD7" s="82">
        <f t="shared" si="21"/>
        <v>66.530405405405403</v>
      </c>
      <c r="CE7" s="82">
        <f t="shared" si="21"/>
        <v>67.173856548856548</v>
      </c>
      <c r="CJ7" s="2"/>
      <c r="CL7" s="183">
        <v>4</v>
      </c>
      <c r="CM7" s="183">
        <f t="shared" si="23"/>
        <v>154163</v>
      </c>
      <c r="CN7" s="183">
        <v>4</v>
      </c>
      <c r="CO7" s="183">
        <v>154163</v>
      </c>
      <c r="CP7" s="183"/>
      <c r="CQ7" s="183"/>
      <c r="CR7" s="183"/>
      <c r="CS7" s="183"/>
    </row>
    <row r="8" spans="1:97" customFormat="1" ht="14.5" x14ac:dyDescent="0.35">
      <c r="A8">
        <v>5</v>
      </c>
      <c r="B8" s="217">
        <f t="shared" si="22"/>
        <v>20857.833333333332</v>
      </c>
      <c r="C8" s="217">
        <f t="shared" si="0"/>
        <v>21163.25</v>
      </c>
      <c r="D8" s="217">
        <f t="shared" si="0"/>
        <v>21374.833333333332</v>
      </c>
      <c r="E8" s="217">
        <f t="shared" si="0"/>
        <v>21680.25</v>
      </c>
      <c r="F8" s="217">
        <f t="shared" si="0"/>
        <v>21891.583333333332</v>
      </c>
      <c r="G8" s="228"/>
      <c r="H8" s="82"/>
      <c r="I8" s="82"/>
      <c r="J8" s="82"/>
      <c r="K8" s="82"/>
      <c r="L8" s="76">
        <v>5</v>
      </c>
      <c r="M8" s="229">
        <f t="shared" si="1"/>
        <v>20857.833333333332</v>
      </c>
      <c r="N8" s="229">
        <f t="shared" si="1"/>
        <v>21163.25</v>
      </c>
      <c r="O8" s="229">
        <f t="shared" si="1"/>
        <v>21374.833333333332</v>
      </c>
      <c r="P8" s="229">
        <f t="shared" si="1"/>
        <v>21680.25</v>
      </c>
      <c r="Q8" s="229">
        <f t="shared" si="1"/>
        <v>21891.583333333332</v>
      </c>
      <c r="S8" s="80">
        <f t="shared" si="2"/>
        <v>15965033.083333334</v>
      </c>
      <c r="T8" s="80">
        <f t="shared" si="3"/>
        <v>11066800.666666666</v>
      </c>
      <c r="U8" s="80">
        <f t="shared" si="4"/>
        <v>15965550.083333334</v>
      </c>
      <c r="V8" s="80">
        <f t="shared" si="5"/>
        <v>11054266.5</v>
      </c>
      <c r="X8" s="104">
        <v>5</v>
      </c>
      <c r="Y8" s="114">
        <v>156614</v>
      </c>
      <c r="Z8" s="115">
        <f t="shared" si="6"/>
        <v>156614</v>
      </c>
      <c r="AA8" s="116">
        <f t="shared" si="7"/>
        <v>250294</v>
      </c>
      <c r="AB8" s="114">
        <v>2847</v>
      </c>
      <c r="AC8" s="115">
        <v>4819</v>
      </c>
      <c r="AD8" s="115">
        <v>7666</v>
      </c>
      <c r="AE8" s="116">
        <v>9636</v>
      </c>
      <c r="AF8" s="115"/>
      <c r="AG8" s="115">
        <v>2293</v>
      </c>
      <c r="AH8" s="115">
        <v>3882</v>
      </c>
      <c r="AI8" s="115">
        <v>6175</v>
      </c>
      <c r="AJ8" s="115">
        <v>7762</v>
      </c>
      <c r="AK8" s="115"/>
      <c r="AL8" s="115">
        <f t="shared" si="8"/>
        <v>3665</v>
      </c>
      <c r="AM8" s="115">
        <f t="shared" si="8"/>
        <v>6204</v>
      </c>
      <c r="AN8" s="115">
        <f t="shared" si="8"/>
        <v>9869</v>
      </c>
      <c r="AO8" s="115">
        <f t="shared" si="8"/>
        <v>12405</v>
      </c>
      <c r="AP8" s="115"/>
      <c r="AQ8" s="114">
        <f t="shared" si="9"/>
        <v>250294</v>
      </c>
      <c r="AR8" s="117">
        <f t="shared" si="10"/>
        <v>253959</v>
      </c>
      <c r="AS8" s="118">
        <f t="shared" si="10"/>
        <v>256498</v>
      </c>
      <c r="AT8" s="118">
        <f t="shared" si="10"/>
        <v>260163</v>
      </c>
      <c r="AU8" s="119">
        <f t="shared" si="10"/>
        <v>262699</v>
      </c>
      <c r="AW8" s="114">
        <v>156614</v>
      </c>
      <c r="AX8" s="118">
        <f t="shared" si="11"/>
        <v>93680.073626000012</v>
      </c>
      <c r="AY8" s="119">
        <f t="shared" si="12"/>
        <v>250294</v>
      </c>
      <c r="BA8" s="81">
        <f t="shared" si="13"/>
        <v>3665</v>
      </c>
      <c r="BB8" s="81">
        <f t="shared" si="14"/>
        <v>6204</v>
      </c>
      <c r="BC8" s="81">
        <f t="shared" si="15"/>
        <v>9869</v>
      </c>
      <c r="BD8" s="81">
        <f t="shared" si="16"/>
        <v>12405</v>
      </c>
      <c r="BE8" s="76"/>
      <c r="BF8" s="81">
        <f t="shared" si="17"/>
        <v>250294</v>
      </c>
      <c r="BG8" s="81">
        <f t="shared" si="18"/>
        <v>253959</v>
      </c>
      <c r="BH8" s="81">
        <f t="shared" si="18"/>
        <v>256498</v>
      </c>
      <c r="BI8" s="81">
        <f t="shared" si="18"/>
        <v>260163</v>
      </c>
      <c r="BJ8" s="81">
        <f t="shared" si="18"/>
        <v>262699</v>
      </c>
      <c r="BL8" s="104">
        <v>5</v>
      </c>
      <c r="BM8" s="82">
        <f t="shared" si="19"/>
        <v>130.09</v>
      </c>
      <c r="BN8" s="82">
        <f t="shared" si="19"/>
        <v>132</v>
      </c>
      <c r="BO8" s="82">
        <f t="shared" si="19"/>
        <v>133.31</v>
      </c>
      <c r="BP8" s="82">
        <f t="shared" si="19"/>
        <v>135.22</v>
      </c>
      <c r="BQ8" s="82">
        <f t="shared" si="19"/>
        <v>136.54</v>
      </c>
      <c r="BS8" s="104">
        <v>5</v>
      </c>
      <c r="BT8" s="82">
        <f t="shared" si="20"/>
        <v>195.13565488565487</v>
      </c>
      <c r="BU8" s="82">
        <f t="shared" si="20"/>
        <v>197.99298336798338</v>
      </c>
      <c r="BV8" s="82">
        <f t="shared" si="20"/>
        <v>199.97245322245323</v>
      </c>
      <c r="BW8" s="82">
        <f t="shared" si="20"/>
        <v>202.82978170478174</v>
      </c>
      <c r="BX8" s="82">
        <f t="shared" si="20"/>
        <v>204.80691268191265</v>
      </c>
      <c r="BZ8" s="104">
        <v>5</v>
      </c>
      <c r="CA8" s="82">
        <f t="shared" si="21"/>
        <v>65.045218295218291</v>
      </c>
      <c r="CB8" s="82">
        <f t="shared" si="21"/>
        <v>65.997661122661128</v>
      </c>
      <c r="CC8" s="82">
        <f t="shared" si="21"/>
        <v>66.657484407484404</v>
      </c>
      <c r="CD8" s="82">
        <f t="shared" si="21"/>
        <v>67.609927234927241</v>
      </c>
      <c r="CE8" s="82">
        <f t="shared" si="21"/>
        <v>68.268970893970888</v>
      </c>
      <c r="CJ8" s="2"/>
      <c r="CK8" s="2"/>
      <c r="CL8" s="183">
        <v>5</v>
      </c>
      <c r="CM8" s="183">
        <f t="shared" si="23"/>
        <v>156614</v>
      </c>
      <c r="CN8" s="183">
        <v>5</v>
      </c>
      <c r="CO8" s="183">
        <v>156614</v>
      </c>
      <c r="CP8" s="183"/>
      <c r="CQ8" s="183"/>
      <c r="CR8" s="183"/>
      <c r="CS8" s="183"/>
    </row>
    <row r="9" spans="1:97" customFormat="1" ht="14.5" x14ac:dyDescent="0.35">
      <c r="A9">
        <v>6</v>
      </c>
      <c r="B9" s="217">
        <f t="shared" si="22"/>
        <v>21193.583333333332</v>
      </c>
      <c r="C9" s="217">
        <f t="shared" si="0"/>
        <v>21506.583333333332</v>
      </c>
      <c r="D9" s="217">
        <f t="shared" si="0"/>
        <v>21723.25</v>
      </c>
      <c r="E9" s="217">
        <f t="shared" si="0"/>
        <v>22036.083333333332</v>
      </c>
      <c r="F9" s="217">
        <f t="shared" si="0"/>
        <v>22252.75</v>
      </c>
      <c r="G9" s="228"/>
      <c r="H9" s="82"/>
      <c r="I9" s="82"/>
      <c r="J9" s="82"/>
      <c r="K9" s="82"/>
      <c r="L9" s="76">
        <v>6</v>
      </c>
      <c r="M9" s="229">
        <f t="shared" si="1"/>
        <v>21193.583333333332</v>
      </c>
      <c r="N9" s="229">
        <f t="shared" si="1"/>
        <v>21506.583333333332</v>
      </c>
      <c r="O9" s="229">
        <f t="shared" si="1"/>
        <v>21723.25</v>
      </c>
      <c r="P9" s="229">
        <f t="shared" si="1"/>
        <v>22036.083333333332</v>
      </c>
      <c r="Q9" s="229">
        <f t="shared" si="1"/>
        <v>22252.75</v>
      </c>
      <c r="S9" s="80">
        <f t="shared" si="2"/>
        <v>16361254.25</v>
      </c>
      <c r="T9" s="80">
        <f t="shared" si="3"/>
        <v>11332517.666666666</v>
      </c>
      <c r="U9" s="80">
        <f t="shared" si="4"/>
        <v>16353083.166666666</v>
      </c>
      <c r="V9" s="80">
        <f t="shared" si="5"/>
        <v>11333047.166666666</v>
      </c>
      <c r="X9" s="104">
        <v>6</v>
      </c>
      <c r="Y9" s="114">
        <v>159135</v>
      </c>
      <c r="Z9" s="115">
        <f t="shared" si="6"/>
        <v>159135</v>
      </c>
      <c r="AA9" s="116">
        <f t="shared" si="7"/>
        <v>254323</v>
      </c>
      <c r="AB9" s="114">
        <v>2917</v>
      </c>
      <c r="AC9" s="115">
        <v>4937</v>
      </c>
      <c r="AD9" s="115">
        <v>7854</v>
      </c>
      <c r="AE9" s="116">
        <v>9873</v>
      </c>
      <c r="AF9" s="115"/>
      <c r="AG9" s="115">
        <v>2350</v>
      </c>
      <c r="AH9" s="115">
        <v>3977</v>
      </c>
      <c r="AI9" s="115">
        <v>6326</v>
      </c>
      <c r="AJ9" s="115">
        <v>7953</v>
      </c>
      <c r="AK9" s="115"/>
      <c r="AL9" s="115">
        <f t="shared" si="8"/>
        <v>3756</v>
      </c>
      <c r="AM9" s="115">
        <f t="shared" si="8"/>
        <v>6356</v>
      </c>
      <c r="AN9" s="115">
        <f t="shared" si="8"/>
        <v>10110</v>
      </c>
      <c r="AO9" s="115">
        <f t="shared" si="8"/>
        <v>12710</v>
      </c>
      <c r="AP9" s="115"/>
      <c r="AQ9" s="114">
        <f t="shared" si="9"/>
        <v>254323</v>
      </c>
      <c r="AR9" s="117">
        <f t="shared" si="10"/>
        <v>258079</v>
      </c>
      <c r="AS9" s="118">
        <f t="shared" si="10"/>
        <v>260679</v>
      </c>
      <c r="AT9" s="118">
        <f t="shared" si="10"/>
        <v>264433</v>
      </c>
      <c r="AU9" s="119">
        <f t="shared" si="10"/>
        <v>267033</v>
      </c>
      <c r="AW9" s="114">
        <v>159135</v>
      </c>
      <c r="AX9" s="118">
        <f t="shared" si="11"/>
        <v>95188.032465000011</v>
      </c>
      <c r="AY9" s="119">
        <f t="shared" si="12"/>
        <v>254323</v>
      </c>
      <c r="BA9" s="81">
        <f t="shared" si="13"/>
        <v>3756</v>
      </c>
      <c r="BB9" s="81">
        <f t="shared" si="14"/>
        <v>6356</v>
      </c>
      <c r="BC9" s="81">
        <f t="shared" si="15"/>
        <v>10110</v>
      </c>
      <c r="BD9" s="81">
        <f t="shared" si="16"/>
        <v>12710</v>
      </c>
      <c r="BE9" s="76"/>
      <c r="BF9" s="81">
        <f t="shared" si="17"/>
        <v>254323</v>
      </c>
      <c r="BG9" s="81">
        <f t="shared" si="18"/>
        <v>258079</v>
      </c>
      <c r="BH9" s="81">
        <f t="shared" si="18"/>
        <v>260679</v>
      </c>
      <c r="BI9" s="81">
        <f t="shared" si="18"/>
        <v>264433</v>
      </c>
      <c r="BJ9" s="81">
        <f t="shared" si="18"/>
        <v>267033</v>
      </c>
      <c r="BL9" s="104">
        <v>6</v>
      </c>
      <c r="BM9" s="82">
        <f t="shared" si="19"/>
        <v>132.18</v>
      </c>
      <c r="BN9" s="82">
        <f t="shared" si="19"/>
        <v>134.13999999999999</v>
      </c>
      <c r="BO9" s="82">
        <f t="shared" si="19"/>
        <v>135.49</v>
      </c>
      <c r="BP9" s="82">
        <f t="shared" si="19"/>
        <v>137.44</v>
      </c>
      <c r="BQ9" s="82">
        <f t="shared" si="19"/>
        <v>138.79</v>
      </c>
      <c r="BS9" s="104">
        <v>6</v>
      </c>
      <c r="BT9" s="82">
        <f t="shared" si="20"/>
        <v>198.27676715176713</v>
      </c>
      <c r="BU9" s="82">
        <f t="shared" si="20"/>
        <v>201.20504158004158</v>
      </c>
      <c r="BV9" s="82">
        <f t="shared" si="20"/>
        <v>203.23206860706861</v>
      </c>
      <c r="BW9" s="82">
        <f t="shared" si="20"/>
        <v>206.1587837837838</v>
      </c>
      <c r="BX9" s="82">
        <f t="shared" si="20"/>
        <v>208.18581081081084</v>
      </c>
      <c r="BZ9" s="104">
        <v>6</v>
      </c>
      <c r="CA9" s="82">
        <f t="shared" si="21"/>
        <v>66.092255717255711</v>
      </c>
      <c r="CB9" s="82">
        <f t="shared" si="21"/>
        <v>67.068347193347194</v>
      </c>
      <c r="CC9" s="82">
        <f t="shared" si="21"/>
        <v>67.744022869022871</v>
      </c>
      <c r="CD9" s="82">
        <f t="shared" si="21"/>
        <v>68.719594594594597</v>
      </c>
      <c r="CE9" s="82">
        <f t="shared" si="21"/>
        <v>69.395270270270274</v>
      </c>
      <c r="CJ9" s="2"/>
      <c r="CK9" s="2"/>
      <c r="CL9" s="183">
        <v>6</v>
      </c>
      <c r="CM9" s="183">
        <f t="shared" si="23"/>
        <v>159135</v>
      </c>
      <c r="CN9" s="183">
        <v>6</v>
      </c>
      <c r="CO9" s="183">
        <v>159135</v>
      </c>
      <c r="CP9" s="183"/>
      <c r="CQ9" s="183"/>
      <c r="CR9" s="183"/>
      <c r="CS9" s="183"/>
    </row>
    <row r="10" spans="1:97" customFormat="1" ht="14.5" x14ac:dyDescent="0.35">
      <c r="A10">
        <v>7</v>
      </c>
      <c r="B10" s="217">
        <f t="shared" si="22"/>
        <v>21538</v>
      </c>
      <c r="C10" s="217">
        <f t="shared" si="0"/>
        <v>21858.666666666668</v>
      </c>
      <c r="D10" s="217">
        <f t="shared" si="0"/>
        <v>22080.833333333332</v>
      </c>
      <c r="E10" s="217">
        <f t="shared" si="0"/>
        <v>22401.5</v>
      </c>
      <c r="F10" s="217">
        <f t="shared" si="0"/>
        <v>22623.416666666668</v>
      </c>
      <c r="G10" s="228"/>
      <c r="H10" s="82"/>
      <c r="I10" s="82"/>
      <c r="J10" s="82"/>
      <c r="K10" s="82"/>
      <c r="L10" s="76">
        <v>7</v>
      </c>
      <c r="M10" s="229">
        <f t="shared" si="1"/>
        <v>21538</v>
      </c>
      <c r="N10" s="229">
        <f t="shared" si="1"/>
        <v>21858.666666666668</v>
      </c>
      <c r="O10" s="229">
        <f t="shared" si="1"/>
        <v>22080.833333333332</v>
      </c>
      <c r="P10" s="229">
        <f t="shared" si="1"/>
        <v>22401.5</v>
      </c>
      <c r="Q10" s="229">
        <f t="shared" si="1"/>
        <v>22623.416666666668</v>
      </c>
      <c r="S10" s="80">
        <f t="shared" si="2"/>
        <v>16761834.416666666</v>
      </c>
      <c r="T10" s="80">
        <f t="shared" si="3"/>
        <v>11619995.416666666</v>
      </c>
      <c r="U10" s="80">
        <f t="shared" si="4"/>
        <v>16762377.25</v>
      </c>
      <c r="V10" s="80">
        <f t="shared" si="5"/>
        <v>11607487.083333334</v>
      </c>
      <c r="X10" s="104">
        <v>7</v>
      </c>
      <c r="Y10" s="114">
        <v>161721</v>
      </c>
      <c r="Z10" s="115">
        <f t="shared" si="6"/>
        <v>161721</v>
      </c>
      <c r="AA10" s="116">
        <f t="shared" si="7"/>
        <v>258456</v>
      </c>
      <c r="AB10" s="114">
        <v>2989</v>
      </c>
      <c r="AC10" s="115">
        <v>5060</v>
      </c>
      <c r="AD10" s="115">
        <v>8049</v>
      </c>
      <c r="AE10" s="116">
        <v>10118</v>
      </c>
      <c r="AF10" s="115"/>
      <c r="AG10" s="115">
        <v>2408</v>
      </c>
      <c r="AH10" s="115">
        <v>4076</v>
      </c>
      <c r="AI10" s="115">
        <v>6484</v>
      </c>
      <c r="AJ10" s="115">
        <v>8150</v>
      </c>
      <c r="AK10" s="115"/>
      <c r="AL10" s="115">
        <f t="shared" si="8"/>
        <v>3848</v>
      </c>
      <c r="AM10" s="115">
        <f t="shared" si="8"/>
        <v>6514</v>
      </c>
      <c r="AN10" s="115">
        <f t="shared" si="8"/>
        <v>10362</v>
      </c>
      <c r="AO10" s="115">
        <f t="shared" si="8"/>
        <v>13025</v>
      </c>
      <c r="AP10" s="115"/>
      <c r="AQ10" s="114">
        <f t="shared" si="9"/>
        <v>258456</v>
      </c>
      <c r="AR10" s="117">
        <f t="shared" si="10"/>
        <v>262304</v>
      </c>
      <c r="AS10" s="118">
        <f t="shared" si="10"/>
        <v>264970</v>
      </c>
      <c r="AT10" s="118">
        <f t="shared" si="10"/>
        <v>268818</v>
      </c>
      <c r="AU10" s="119">
        <f t="shared" si="10"/>
        <v>271481</v>
      </c>
      <c r="AW10" s="114">
        <v>161721</v>
      </c>
      <c r="AX10" s="118">
        <f t="shared" si="11"/>
        <v>96734.871639000019</v>
      </c>
      <c r="AY10" s="119">
        <f t="shared" si="12"/>
        <v>258456</v>
      </c>
      <c r="BA10" s="81">
        <f t="shared" si="13"/>
        <v>3848</v>
      </c>
      <c r="BB10" s="81">
        <f t="shared" si="14"/>
        <v>6514</v>
      </c>
      <c r="BC10" s="81">
        <f t="shared" si="15"/>
        <v>10362</v>
      </c>
      <c r="BD10" s="81">
        <f t="shared" si="16"/>
        <v>13025</v>
      </c>
      <c r="BE10" s="76"/>
      <c r="BF10" s="81">
        <f t="shared" si="17"/>
        <v>258456</v>
      </c>
      <c r="BG10" s="81">
        <f t="shared" si="18"/>
        <v>262304</v>
      </c>
      <c r="BH10" s="81">
        <f t="shared" si="18"/>
        <v>264970</v>
      </c>
      <c r="BI10" s="81">
        <f t="shared" si="18"/>
        <v>268818</v>
      </c>
      <c r="BJ10" s="81">
        <f t="shared" si="18"/>
        <v>271481</v>
      </c>
      <c r="BL10" s="104">
        <v>7</v>
      </c>
      <c r="BM10" s="82">
        <f t="shared" si="19"/>
        <v>134.33000000000001</v>
      </c>
      <c r="BN10" s="82">
        <f t="shared" si="19"/>
        <v>136.33000000000001</v>
      </c>
      <c r="BO10" s="82">
        <f t="shared" si="19"/>
        <v>137.72</v>
      </c>
      <c r="BP10" s="82">
        <f t="shared" si="19"/>
        <v>139.72</v>
      </c>
      <c r="BQ10" s="82">
        <f t="shared" si="19"/>
        <v>141.1</v>
      </c>
      <c r="BS10" s="104">
        <v>7</v>
      </c>
      <c r="BT10" s="82">
        <f t="shared" si="20"/>
        <v>201.49896049896049</v>
      </c>
      <c r="BU10" s="82">
        <f t="shared" si="20"/>
        <v>204.49896049896049</v>
      </c>
      <c r="BV10" s="82">
        <f t="shared" si="20"/>
        <v>206.57744282744284</v>
      </c>
      <c r="BW10" s="82">
        <f t="shared" si="20"/>
        <v>209.57744282744284</v>
      </c>
      <c r="BX10" s="82">
        <f t="shared" si="20"/>
        <v>211.65358627858626</v>
      </c>
      <c r="BZ10" s="104">
        <v>7</v>
      </c>
      <c r="CA10" s="82">
        <f t="shared" si="21"/>
        <v>67.166320166320162</v>
      </c>
      <c r="CB10" s="82">
        <f t="shared" si="21"/>
        <v>68.166320166320162</v>
      </c>
      <c r="CC10" s="82">
        <f t="shared" si="21"/>
        <v>68.859147609147612</v>
      </c>
      <c r="CD10" s="82">
        <f t="shared" si="21"/>
        <v>69.859147609147612</v>
      </c>
      <c r="CE10" s="82">
        <f t="shared" si="21"/>
        <v>70.55119542619542</v>
      </c>
      <c r="CJ10" s="2"/>
      <c r="CK10" s="2"/>
      <c r="CL10" s="183">
        <v>7</v>
      </c>
      <c r="CM10" s="183">
        <f t="shared" si="23"/>
        <v>161721</v>
      </c>
      <c r="CN10" s="183">
        <v>7</v>
      </c>
      <c r="CO10" s="183">
        <v>161721</v>
      </c>
      <c r="CP10" s="183"/>
      <c r="CQ10" s="183"/>
      <c r="CR10" s="183"/>
      <c r="CS10" s="183"/>
    </row>
    <row r="11" spans="1:97" customFormat="1" ht="14.5" x14ac:dyDescent="0.35">
      <c r="A11">
        <v>8</v>
      </c>
      <c r="B11" s="217">
        <f t="shared" si="22"/>
        <v>21905</v>
      </c>
      <c r="C11" s="217">
        <f t="shared" si="0"/>
        <v>22233.916666666668</v>
      </c>
      <c r="D11" s="217">
        <f t="shared" si="0"/>
        <v>22461.833333333332</v>
      </c>
      <c r="E11" s="217">
        <f t="shared" si="0"/>
        <v>22790.666666666668</v>
      </c>
      <c r="F11" s="217">
        <f t="shared" si="0"/>
        <v>23018.416666666668</v>
      </c>
      <c r="G11" s="228"/>
      <c r="H11" s="82"/>
      <c r="I11" s="82"/>
      <c r="J11" s="82"/>
      <c r="K11" s="82"/>
      <c r="L11" s="76">
        <v>8</v>
      </c>
      <c r="M11" s="229">
        <f t="shared" si="1"/>
        <v>21905</v>
      </c>
      <c r="N11" s="229">
        <f t="shared" si="1"/>
        <v>22233.916666666668</v>
      </c>
      <c r="O11" s="229">
        <f t="shared" si="1"/>
        <v>22461.833333333332</v>
      </c>
      <c r="P11" s="229">
        <f t="shared" si="1"/>
        <v>22790.666666666668</v>
      </c>
      <c r="Q11" s="229">
        <f t="shared" si="1"/>
        <v>23018.416666666668</v>
      </c>
      <c r="S11" s="80">
        <f t="shared" si="2"/>
        <v>17192889.916666668</v>
      </c>
      <c r="T11" s="80">
        <f t="shared" si="3"/>
        <v>11920547.5</v>
      </c>
      <c r="U11" s="80">
        <f t="shared" si="4"/>
        <v>17189096.416666668</v>
      </c>
      <c r="V11" s="80">
        <f t="shared" si="5"/>
        <v>11912403.5</v>
      </c>
      <c r="X11" s="104">
        <v>8</v>
      </c>
      <c r="Y11" s="114">
        <v>164477</v>
      </c>
      <c r="Z11" s="115">
        <f t="shared" si="6"/>
        <v>164477</v>
      </c>
      <c r="AA11" s="116">
        <f t="shared" si="7"/>
        <v>262860</v>
      </c>
      <c r="AB11" s="114">
        <v>3067</v>
      </c>
      <c r="AC11" s="115">
        <v>5190</v>
      </c>
      <c r="AD11" s="115">
        <v>8256</v>
      </c>
      <c r="AE11" s="116">
        <v>10379</v>
      </c>
      <c r="AF11" s="115"/>
      <c r="AG11" s="115">
        <v>2470</v>
      </c>
      <c r="AH11" s="115">
        <v>4181</v>
      </c>
      <c r="AI11" s="115">
        <v>6650</v>
      </c>
      <c r="AJ11" s="115">
        <v>8360</v>
      </c>
      <c r="AK11" s="115"/>
      <c r="AL11" s="115">
        <f t="shared" si="8"/>
        <v>3947</v>
      </c>
      <c r="AM11" s="115">
        <f t="shared" si="8"/>
        <v>6682</v>
      </c>
      <c r="AN11" s="115">
        <f t="shared" si="8"/>
        <v>10628</v>
      </c>
      <c r="AO11" s="115">
        <f t="shared" si="8"/>
        <v>13361</v>
      </c>
      <c r="AP11" s="115"/>
      <c r="AQ11" s="114">
        <f t="shared" si="9"/>
        <v>262860</v>
      </c>
      <c r="AR11" s="117">
        <f t="shared" si="10"/>
        <v>266807</v>
      </c>
      <c r="AS11" s="118">
        <f t="shared" si="10"/>
        <v>269542</v>
      </c>
      <c r="AT11" s="118">
        <f t="shared" si="10"/>
        <v>273488</v>
      </c>
      <c r="AU11" s="119">
        <f t="shared" si="10"/>
        <v>276221</v>
      </c>
      <c r="AW11" s="114">
        <v>164477</v>
      </c>
      <c r="AX11" s="118">
        <f t="shared" si="11"/>
        <v>98383.397843000013</v>
      </c>
      <c r="AY11" s="119">
        <f t="shared" si="12"/>
        <v>262860</v>
      </c>
      <c r="BA11" s="81">
        <f t="shared" si="13"/>
        <v>3947</v>
      </c>
      <c r="BB11" s="81">
        <f t="shared" si="14"/>
        <v>6682</v>
      </c>
      <c r="BC11" s="81">
        <f t="shared" si="15"/>
        <v>10628</v>
      </c>
      <c r="BD11" s="81">
        <f t="shared" si="16"/>
        <v>13361</v>
      </c>
      <c r="BE11" s="76"/>
      <c r="BF11" s="81">
        <f t="shared" si="17"/>
        <v>262860</v>
      </c>
      <c r="BG11" s="81">
        <f t="shared" si="18"/>
        <v>266807</v>
      </c>
      <c r="BH11" s="81">
        <f t="shared" si="18"/>
        <v>269542</v>
      </c>
      <c r="BI11" s="81">
        <f t="shared" si="18"/>
        <v>273488</v>
      </c>
      <c r="BJ11" s="81">
        <f t="shared" si="18"/>
        <v>276221</v>
      </c>
      <c r="BL11" s="104">
        <v>8</v>
      </c>
      <c r="BM11" s="82">
        <f t="shared" si="19"/>
        <v>136.62</v>
      </c>
      <c r="BN11" s="82">
        <f t="shared" si="19"/>
        <v>138.66999999999999</v>
      </c>
      <c r="BO11" s="82">
        <f t="shared" si="19"/>
        <v>140.09</v>
      </c>
      <c r="BP11" s="82">
        <f t="shared" si="19"/>
        <v>142.15</v>
      </c>
      <c r="BQ11" s="82">
        <f t="shared" si="19"/>
        <v>143.57</v>
      </c>
      <c r="BS11" s="104">
        <v>8</v>
      </c>
      <c r="BT11" s="82">
        <f t="shared" si="20"/>
        <v>204.93243243243242</v>
      </c>
      <c r="BU11" s="82">
        <f t="shared" si="20"/>
        <v>208.00961538461542</v>
      </c>
      <c r="BV11" s="82">
        <f t="shared" si="20"/>
        <v>210.14189189189187</v>
      </c>
      <c r="BW11" s="82">
        <f t="shared" si="20"/>
        <v>213.21829521829522</v>
      </c>
      <c r="BX11" s="82">
        <f t="shared" si="20"/>
        <v>215.34901247401248</v>
      </c>
      <c r="BZ11" s="104">
        <v>8</v>
      </c>
      <c r="CA11" s="82">
        <f t="shared" si="21"/>
        <v>68.310810810810807</v>
      </c>
      <c r="CB11" s="82">
        <f t="shared" si="21"/>
        <v>69.336538461538467</v>
      </c>
      <c r="CC11" s="82">
        <f t="shared" si="21"/>
        <v>70.047297297297291</v>
      </c>
      <c r="CD11" s="82">
        <f t="shared" si="21"/>
        <v>71.07276507276508</v>
      </c>
      <c r="CE11" s="82">
        <f t="shared" si="21"/>
        <v>71.783004158004161</v>
      </c>
      <c r="CH11" s="167">
        <v>36616</v>
      </c>
      <c r="CI11">
        <v>1</v>
      </c>
      <c r="CJ11" s="2"/>
      <c r="CK11" s="2"/>
      <c r="CL11" s="183">
        <v>8</v>
      </c>
      <c r="CM11" s="183">
        <f t="shared" si="23"/>
        <v>164477</v>
      </c>
      <c r="CN11" s="183">
        <v>8</v>
      </c>
      <c r="CO11" s="183">
        <v>164477</v>
      </c>
      <c r="CP11" s="183"/>
      <c r="CQ11" s="183"/>
      <c r="CR11" s="183"/>
      <c r="CS11" s="183"/>
    </row>
    <row r="12" spans="1:97" customFormat="1" ht="14.5" x14ac:dyDescent="0.35">
      <c r="A12">
        <v>9</v>
      </c>
      <c r="B12" s="217">
        <f t="shared" si="22"/>
        <v>22594.083333333332</v>
      </c>
      <c r="C12" s="217">
        <f t="shared" si="0"/>
        <v>22931.333333333332</v>
      </c>
      <c r="D12" s="217">
        <f t="shared" si="0"/>
        <v>23164.666666666668</v>
      </c>
      <c r="E12" s="217">
        <f t="shared" si="0"/>
        <v>23501.666666666668</v>
      </c>
      <c r="F12" s="217">
        <f t="shared" si="0"/>
        <v>23735.166666666668</v>
      </c>
      <c r="G12" s="230"/>
      <c r="H12" s="82"/>
      <c r="I12" s="82"/>
      <c r="J12" s="82"/>
      <c r="K12" s="82"/>
      <c r="L12" s="76">
        <v>9</v>
      </c>
      <c r="M12" s="229">
        <f t="shared" si="1"/>
        <v>22594.083333333332</v>
      </c>
      <c r="N12" s="229">
        <f t="shared" si="1"/>
        <v>22931.333333333332</v>
      </c>
      <c r="O12" s="229">
        <f t="shared" si="1"/>
        <v>23164.666666666668</v>
      </c>
      <c r="P12" s="229">
        <f t="shared" si="1"/>
        <v>23501.666666666668</v>
      </c>
      <c r="Q12" s="229">
        <f t="shared" si="1"/>
        <v>23735.166666666668</v>
      </c>
      <c r="S12" s="80">
        <f t="shared" si="2"/>
        <v>17628617.916666668</v>
      </c>
      <c r="T12" s="80">
        <f t="shared" si="3"/>
        <v>12204020.25</v>
      </c>
      <c r="U12" s="80">
        <f t="shared" si="4"/>
        <v>17616137.333333332</v>
      </c>
      <c r="V12" s="80">
        <f t="shared" si="5"/>
        <v>12213291.333333334</v>
      </c>
      <c r="X12" s="104">
        <v>9</v>
      </c>
      <c r="Y12" s="114">
        <v>169651</v>
      </c>
      <c r="Z12" s="115">
        <f t="shared" si="6"/>
        <v>169651</v>
      </c>
      <c r="AA12" s="116">
        <f t="shared" si="7"/>
        <v>271129</v>
      </c>
      <c r="AB12" s="114">
        <v>3143</v>
      </c>
      <c r="AC12" s="115">
        <v>5319</v>
      </c>
      <c r="AD12" s="115">
        <v>8461</v>
      </c>
      <c r="AE12" s="116">
        <v>10637</v>
      </c>
      <c r="AF12" s="115"/>
      <c r="AG12" s="115">
        <v>2532</v>
      </c>
      <c r="AH12" s="115">
        <v>4284</v>
      </c>
      <c r="AI12" s="115">
        <v>6815</v>
      </c>
      <c r="AJ12" s="115">
        <v>8568</v>
      </c>
      <c r="AK12" s="115"/>
      <c r="AL12" s="115">
        <f t="shared" si="8"/>
        <v>4047</v>
      </c>
      <c r="AM12" s="115">
        <f t="shared" si="8"/>
        <v>6847</v>
      </c>
      <c r="AN12" s="115">
        <f t="shared" si="8"/>
        <v>10891</v>
      </c>
      <c r="AO12" s="115">
        <f t="shared" si="8"/>
        <v>13693</v>
      </c>
      <c r="AP12" s="115"/>
      <c r="AQ12" s="114">
        <f>$AA12</f>
        <v>271129</v>
      </c>
      <c r="AR12" s="117">
        <f t="shared" si="10"/>
        <v>275176</v>
      </c>
      <c r="AS12" s="118">
        <f t="shared" si="10"/>
        <v>277976</v>
      </c>
      <c r="AT12" s="118">
        <f t="shared" si="10"/>
        <v>282020</v>
      </c>
      <c r="AU12" s="119">
        <f t="shared" si="10"/>
        <v>284822</v>
      </c>
      <c r="AW12" s="114">
        <v>169651</v>
      </c>
      <c r="AX12" s="118">
        <f t="shared" si="11"/>
        <v>101478.27250900002</v>
      </c>
      <c r="AY12" s="119">
        <f t="shared" si="12"/>
        <v>271129</v>
      </c>
      <c r="BA12" s="81">
        <f t="shared" si="13"/>
        <v>4047</v>
      </c>
      <c r="BB12" s="81">
        <f t="shared" si="14"/>
        <v>6847</v>
      </c>
      <c r="BC12" s="81">
        <f t="shared" si="15"/>
        <v>10891</v>
      </c>
      <c r="BD12" s="81">
        <f t="shared" si="16"/>
        <v>13693</v>
      </c>
      <c r="BE12" s="76"/>
      <c r="BF12" s="81">
        <f t="shared" si="17"/>
        <v>271129</v>
      </c>
      <c r="BG12" s="81">
        <f t="shared" si="18"/>
        <v>275176</v>
      </c>
      <c r="BH12" s="81">
        <f t="shared" si="18"/>
        <v>277976</v>
      </c>
      <c r="BI12" s="81">
        <f t="shared" si="18"/>
        <v>282020</v>
      </c>
      <c r="BJ12" s="81">
        <f t="shared" si="18"/>
        <v>284822</v>
      </c>
      <c r="BL12" s="104">
        <v>9</v>
      </c>
      <c r="BM12" s="82">
        <f t="shared" si="19"/>
        <v>140.91999999999999</v>
      </c>
      <c r="BN12" s="82">
        <f t="shared" si="19"/>
        <v>143.02000000000001</v>
      </c>
      <c r="BO12" s="82">
        <f t="shared" si="19"/>
        <v>144.47999999999999</v>
      </c>
      <c r="BP12" s="82">
        <f t="shared" si="19"/>
        <v>146.58000000000001</v>
      </c>
      <c r="BQ12" s="82">
        <f t="shared" si="19"/>
        <v>148.04</v>
      </c>
      <c r="BS12" s="104">
        <v>9</v>
      </c>
      <c r="BT12" s="82">
        <f t="shared" si="20"/>
        <v>211.379158004158</v>
      </c>
      <c r="BU12" s="82">
        <f t="shared" si="20"/>
        <v>214.53430353430355</v>
      </c>
      <c r="BV12" s="82">
        <f t="shared" si="20"/>
        <v>216.71725571725574</v>
      </c>
      <c r="BW12" s="82">
        <f t="shared" si="20"/>
        <v>219.87006237006239</v>
      </c>
      <c r="BX12" s="82">
        <f t="shared" si="20"/>
        <v>222.05457380457381</v>
      </c>
      <c r="BZ12" s="104">
        <v>9</v>
      </c>
      <c r="CA12" s="82">
        <f t="shared" si="21"/>
        <v>70.459719334719338</v>
      </c>
      <c r="CB12" s="82">
        <f t="shared" si="21"/>
        <v>71.511434511434516</v>
      </c>
      <c r="CC12" s="82">
        <f t="shared" si="21"/>
        <v>72.239085239085242</v>
      </c>
      <c r="CD12" s="82">
        <f t="shared" si="21"/>
        <v>73.29002079002079</v>
      </c>
      <c r="CE12" s="82">
        <f t="shared" si="21"/>
        <v>74.018191268191273</v>
      </c>
      <c r="CH12" s="167">
        <v>43556</v>
      </c>
      <c r="CI12">
        <v>2</v>
      </c>
      <c r="CJ12" s="2"/>
      <c r="CK12" s="2"/>
      <c r="CL12" s="183">
        <v>9</v>
      </c>
      <c r="CM12" s="183">
        <f t="shared" si="23"/>
        <v>169651</v>
      </c>
      <c r="CN12" s="183">
        <v>9</v>
      </c>
      <c r="CO12" s="183">
        <v>169651</v>
      </c>
      <c r="CP12" s="183"/>
      <c r="CQ12" s="183"/>
      <c r="CR12" s="183"/>
      <c r="CS12" s="183"/>
    </row>
    <row r="13" spans="1:97" customFormat="1" ht="14.5" x14ac:dyDescent="0.35">
      <c r="A13">
        <v>10</v>
      </c>
      <c r="B13" s="217">
        <f t="shared" si="22"/>
        <v>22753.666666666668</v>
      </c>
      <c r="C13" s="217">
        <f t="shared" si="0"/>
        <v>23099.25</v>
      </c>
      <c r="D13" s="217">
        <f t="shared" si="0"/>
        <v>23338.5</v>
      </c>
      <c r="E13" s="217">
        <f t="shared" si="0"/>
        <v>23683.916666666668</v>
      </c>
      <c r="F13" s="217">
        <f t="shared" si="0"/>
        <v>23923.25</v>
      </c>
      <c r="G13" s="230"/>
      <c r="H13" s="82"/>
      <c r="I13" s="82"/>
      <c r="J13" s="82"/>
      <c r="K13" s="82"/>
      <c r="L13" s="76">
        <v>10</v>
      </c>
      <c r="M13" s="229">
        <f t="shared" si="1"/>
        <v>22753.666666666668</v>
      </c>
      <c r="N13" s="229">
        <f t="shared" si="1"/>
        <v>23099.25</v>
      </c>
      <c r="O13" s="229">
        <f t="shared" si="1"/>
        <v>23338.5</v>
      </c>
      <c r="P13" s="229">
        <f t="shared" si="1"/>
        <v>23683.916666666668</v>
      </c>
      <c r="Q13" s="229">
        <f t="shared" si="1"/>
        <v>23923.25</v>
      </c>
      <c r="S13" s="80">
        <f t="shared" si="2"/>
        <v>18063816.416666668</v>
      </c>
      <c r="T13" s="80">
        <f t="shared" si="3"/>
        <v>12513065.75</v>
      </c>
      <c r="U13" s="80">
        <f t="shared" si="4"/>
        <v>18055700.416666668</v>
      </c>
      <c r="V13" s="80">
        <f t="shared" si="5"/>
        <v>12518000.833333334</v>
      </c>
      <c r="X13" s="104">
        <v>10</v>
      </c>
      <c r="Y13" s="120">
        <v>170849</v>
      </c>
      <c r="Z13" s="121">
        <f t="shared" si="6"/>
        <v>170849</v>
      </c>
      <c r="AA13" s="122">
        <f t="shared" si="7"/>
        <v>273044</v>
      </c>
      <c r="AB13" s="120">
        <v>3221</v>
      </c>
      <c r="AC13" s="121">
        <v>5451</v>
      </c>
      <c r="AD13" s="121">
        <v>8672</v>
      </c>
      <c r="AE13" s="122">
        <v>10903</v>
      </c>
      <c r="AF13" s="121"/>
      <c r="AG13" s="121">
        <v>2595</v>
      </c>
      <c r="AH13" s="121">
        <v>4391</v>
      </c>
      <c r="AI13" s="121">
        <v>6985</v>
      </c>
      <c r="AJ13" s="121">
        <v>8782</v>
      </c>
      <c r="AK13" s="121"/>
      <c r="AL13" s="121">
        <f t="shared" si="8"/>
        <v>4147</v>
      </c>
      <c r="AM13" s="121">
        <f t="shared" si="8"/>
        <v>7018</v>
      </c>
      <c r="AN13" s="121">
        <f t="shared" si="8"/>
        <v>11163</v>
      </c>
      <c r="AO13" s="121">
        <f t="shared" si="8"/>
        <v>14035</v>
      </c>
      <c r="AP13" s="121"/>
      <c r="AQ13" s="120">
        <f t="shared" si="9"/>
        <v>273044</v>
      </c>
      <c r="AR13" s="123">
        <f t="shared" si="10"/>
        <v>277191</v>
      </c>
      <c r="AS13" s="124">
        <f t="shared" si="10"/>
        <v>280062</v>
      </c>
      <c r="AT13" s="124">
        <f t="shared" si="10"/>
        <v>284207</v>
      </c>
      <c r="AU13" s="125">
        <f t="shared" si="10"/>
        <v>287079</v>
      </c>
      <c r="AW13" s="120">
        <v>170849</v>
      </c>
      <c r="AX13" s="124">
        <f t="shared" si="11"/>
        <v>102194.86699100002</v>
      </c>
      <c r="AY13" s="125">
        <f t="shared" si="12"/>
        <v>273044</v>
      </c>
      <c r="BA13" s="81">
        <f t="shared" si="13"/>
        <v>4147</v>
      </c>
      <c r="BB13" s="81">
        <f t="shared" si="14"/>
        <v>7018</v>
      </c>
      <c r="BC13" s="81">
        <f t="shared" si="15"/>
        <v>11163</v>
      </c>
      <c r="BD13" s="81">
        <f t="shared" si="16"/>
        <v>14035</v>
      </c>
      <c r="BE13" s="76"/>
      <c r="BF13" s="81">
        <f t="shared" si="17"/>
        <v>273044</v>
      </c>
      <c r="BG13" s="81">
        <f t="shared" si="18"/>
        <v>277191</v>
      </c>
      <c r="BH13" s="81">
        <f t="shared" si="18"/>
        <v>280062</v>
      </c>
      <c r="BI13" s="81">
        <f t="shared" si="18"/>
        <v>284207</v>
      </c>
      <c r="BJ13" s="81">
        <f t="shared" si="18"/>
        <v>287079</v>
      </c>
      <c r="BL13" s="104">
        <v>10</v>
      </c>
      <c r="BM13" s="82">
        <f t="shared" si="19"/>
        <v>141.91</v>
      </c>
      <c r="BN13" s="82">
        <f t="shared" si="19"/>
        <v>144.07</v>
      </c>
      <c r="BO13" s="82">
        <f t="shared" si="19"/>
        <v>145.56</v>
      </c>
      <c r="BP13" s="82">
        <f t="shared" si="19"/>
        <v>147.72</v>
      </c>
      <c r="BQ13" s="82">
        <f t="shared" si="19"/>
        <v>149.21</v>
      </c>
      <c r="BS13" s="104">
        <v>10</v>
      </c>
      <c r="BT13" s="82">
        <f t="shared" si="20"/>
        <v>212.87214137214136</v>
      </c>
      <c r="BU13" s="82">
        <f t="shared" si="20"/>
        <v>216.10524948024948</v>
      </c>
      <c r="BV13" s="82">
        <f t="shared" si="20"/>
        <v>218.3435550935551</v>
      </c>
      <c r="BW13" s="82">
        <f t="shared" si="20"/>
        <v>221.57510395010394</v>
      </c>
      <c r="BX13" s="82">
        <f t="shared" si="20"/>
        <v>223.81418918918916</v>
      </c>
      <c r="BZ13" s="104">
        <v>10</v>
      </c>
      <c r="CA13" s="82">
        <f t="shared" si="21"/>
        <v>70.957380457380452</v>
      </c>
      <c r="CB13" s="82">
        <f t="shared" si="21"/>
        <v>72.035083160083161</v>
      </c>
      <c r="CC13" s="82">
        <f t="shared" si="21"/>
        <v>72.781185031185032</v>
      </c>
      <c r="CD13" s="82">
        <f t="shared" si="21"/>
        <v>73.858367983367984</v>
      </c>
      <c r="CE13" s="82">
        <f t="shared" si="21"/>
        <v>74.604729729729726</v>
      </c>
      <c r="CH13" s="167">
        <v>44652</v>
      </c>
      <c r="CI13">
        <v>3</v>
      </c>
      <c r="CJ13" s="2"/>
      <c r="CK13" s="2"/>
      <c r="CL13" s="240">
        <v>10</v>
      </c>
      <c r="CM13" s="240">
        <f t="shared" si="23"/>
        <v>170849</v>
      </c>
      <c r="CN13" s="240">
        <v>10</v>
      </c>
      <c r="CO13" s="240">
        <v>170849</v>
      </c>
      <c r="CP13" s="240"/>
      <c r="CQ13" s="183"/>
      <c r="CR13" s="183"/>
      <c r="CS13" s="183"/>
    </row>
    <row r="14" spans="1:97" customFormat="1" ht="14.5" x14ac:dyDescent="0.35">
      <c r="A14">
        <v>11</v>
      </c>
      <c r="B14" s="193">
        <f>AQ14/12</f>
        <v>23355.75</v>
      </c>
      <c r="C14" s="193">
        <f t="shared" si="0"/>
        <v>23709.916666666668</v>
      </c>
      <c r="D14" s="193">
        <f t="shared" si="0"/>
        <v>23955.166666666668</v>
      </c>
      <c r="E14" s="193">
        <f t="shared" si="0"/>
        <v>24309.333333333332</v>
      </c>
      <c r="F14" s="193">
        <f t="shared" si="0"/>
        <v>24554.666666666668</v>
      </c>
      <c r="G14" s="230"/>
      <c r="H14" s="82"/>
      <c r="I14" s="82"/>
      <c r="J14" s="82"/>
      <c r="K14" s="82"/>
      <c r="L14" s="76">
        <v>11</v>
      </c>
      <c r="M14" s="193">
        <f t="shared" si="1"/>
        <v>23355.75</v>
      </c>
      <c r="N14" s="193">
        <f t="shared" si="1"/>
        <v>23709.916666666668</v>
      </c>
      <c r="O14" s="193">
        <f t="shared" si="1"/>
        <v>23955.166666666668</v>
      </c>
      <c r="P14" s="193">
        <f t="shared" si="1"/>
        <v>24309.333333333332</v>
      </c>
      <c r="Q14" s="193">
        <f t="shared" si="1"/>
        <v>24554.666666666668</v>
      </c>
      <c r="S14" s="80">
        <f t="shared" si="2"/>
        <v>18512508.5</v>
      </c>
      <c r="T14" s="80">
        <f t="shared" si="3"/>
        <v>12826904.416666666</v>
      </c>
      <c r="U14" s="80">
        <f t="shared" si="4"/>
        <v>18513107.916666668</v>
      </c>
      <c r="V14" s="80">
        <f t="shared" si="5"/>
        <v>12831854.25</v>
      </c>
      <c r="X14" s="104">
        <v>11</v>
      </c>
      <c r="Y14" s="164">
        <v>173067</v>
      </c>
      <c r="Z14" s="186">
        <f t="shared" si="6"/>
        <v>175370</v>
      </c>
      <c r="AA14" s="165">
        <f t="shared" si="7"/>
        <v>280269</v>
      </c>
      <c r="AB14" s="114">
        <v>3301</v>
      </c>
      <c r="AC14" s="115">
        <v>5588</v>
      </c>
      <c r="AD14" s="115">
        <v>8889</v>
      </c>
      <c r="AE14" s="116">
        <v>11175</v>
      </c>
      <c r="AF14" s="115"/>
      <c r="AG14" s="115">
        <v>2659</v>
      </c>
      <c r="AH14" s="115">
        <v>4501</v>
      </c>
      <c r="AI14" s="115">
        <v>7160</v>
      </c>
      <c r="AJ14" s="115">
        <v>9002</v>
      </c>
      <c r="AK14" s="115"/>
      <c r="AL14" s="115">
        <f t="shared" si="8"/>
        <v>4250</v>
      </c>
      <c r="AM14" s="115">
        <f t="shared" si="8"/>
        <v>7193</v>
      </c>
      <c r="AN14" s="115">
        <f t="shared" si="8"/>
        <v>11443</v>
      </c>
      <c r="AO14" s="115">
        <f t="shared" si="8"/>
        <v>14387</v>
      </c>
      <c r="AP14" s="115"/>
      <c r="AQ14" s="187">
        <f t="shared" si="9"/>
        <v>280269</v>
      </c>
      <c r="AR14" s="188">
        <f t="shared" si="10"/>
        <v>284519</v>
      </c>
      <c r="AS14" s="189">
        <f t="shared" si="10"/>
        <v>287462</v>
      </c>
      <c r="AT14" s="189">
        <f t="shared" si="10"/>
        <v>291712</v>
      </c>
      <c r="AU14" s="190">
        <f t="shared" si="10"/>
        <v>294656</v>
      </c>
      <c r="AW14" s="114">
        <v>173067</v>
      </c>
      <c r="AX14" s="191">
        <f t="shared" ref="AX14:AX22" si="24">IF(beregningsdato&gt;=$AA$3,ROUND((AW14+$Y$3)*regulering,0),ROUND(AW14*regulering,0))</f>
        <v>104899</v>
      </c>
      <c r="AY14" s="192">
        <f t="shared" ref="AY14:AY22" si="25">IF(beregningsdato&gt;=$AA$3,SUM($Y$3,AW14:AX14),SUM(AW14:AX14))</f>
        <v>280269</v>
      </c>
      <c r="BA14" s="81">
        <f t="shared" si="13"/>
        <v>4250</v>
      </c>
      <c r="BB14" s="81">
        <f t="shared" si="14"/>
        <v>7193</v>
      </c>
      <c r="BC14" s="81">
        <f t="shared" si="15"/>
        <v>11443</v>
      </c>
      <c r="BD14" s="81">
        <f t="shared" si="16"/>
        <v>14387</v>
      </c>
      <c r="BE14" s="76"/>
      <c r="BF14" s="81">
        <f t="shared" si="17"/>
        <v>280269</v>
      </c>
      <c r="BG14" s="81">
        <f t="shared" si="18"/>
        <v>284519</v>
      </c>
      <c r="BH14" s="81">
        <f t="shared" si="18"/>
        <v>287462</v>
      </c>
      <c r="BI14" s="81">
        <f t="shared" si="18"/>
        <v>291712</v>
      </c>
      <c r="BJ14" s="81">
        <f t="shared" si="18"/>
        <v>294656</v>
      </c>
      <c r="BL14" s="104">
        <v>11</v>
      </c>
      <c r="BM14" s="193">
        <f>ROUND(AQ14/1924,2)</f>
        <v>145.66999999999999</v>
      </c>
      <c r="BN14" s="193">
        <f t="shared" si="19"/>
        <v>147.88</v>
      </c>
      <c r="BO14" s="193">
        <f t="shared" si="19"/>
        <v>149.41</v>
      </c>
      <c r="BP14" s="193">
        <f t="shared" si="19"/>
        <v>151.62</v>
      </c>
      <c r="BQ14" s="193">
        <f t="shared" si="19"/>
        <v>153.15</v>
      </c>
      <c r="BS14" s="104">
        <v>11</v>
      </c>
      <c r="BT14" s="82">
        <f t="shared" si="20"/>
        <v>218.50493762993761</v>
      </c>
      <c r="BU14" s="82">
        <f t="shared" si="20"/>
        <v>221.81834719334719</v>
      </c>
      <c r="BV14" s="82">
        <f t="shared" si="20"/>
        <v>224.11278586278587</v>
      </c>
      <c r="BW14" s="82">
        <f t="shared" si="20"/>
        <v>227.42619542619542</v>
      </c>
      <c r="BX14" s="82">
        <f t="shared" si="20"/>
        <v>229.72141372141374</v>
      </c>
      <c r="BZ14" s="104">
        <v>11</v>
      </c>
      <c r="CA14" s="82">
        <f t="shared" si="21"/>
        <v>72.83497920997921</v>
      </c>
      <c r="CB14" s="82">
        <f t="shared" si="21"/>
        <v>73.939449064449065</v>
      </c>
      <c r="CC14" s="82">
        <f t="shared" si="21"/>
        <v>74.704261954261952</v>
      </c>
      <c r="CD14" s="82">
        <f t="shared" si="21"/>
        <v>75.808731808731807</v>
      </c>
      <c r="CE14" s="82">
        <f t="shared" si="21"/>
        <v>76.57380457380458</v>
      </c>
      <c r="CH14" s="167">
        <v>45748</v>
      </c>
      <c r="CI14">
        <v>4</v>
      </c>
      <c r="CJ14" s="2"/>
      <c r="CK14" s="2"/>
      <c r="CL14" s="183">
        <v>11</v>
      </c>
      <c r="CM14" s="183">
        <f t="shared" si="23"/>
        <v>175370</v>
      </c>
      <c r="CN14" s="183">
        <v>11</v>
      </c>
      <c r="CO14" s="183">
        <v>173067</v>
      </c>
      <c r="CP14" s="183"/>
      <c r="CQ14" s="183">
        <f>$CI$4</f>
        <v>382</v>
      </c>
      <c r="CR14" s="183">
        <f>$CI$5</f>
        <v>1035</v>
      </c>
      <c r="CS14" s="183">
        <f>$CI$6</f>
        <v>2303</v>
      </c>
    </row>
    <row r="15" spans="1:97" customFormat="1" ht="14.5" x14ac:dyDescent="0.35">
      <c r="A15">
        <v>12</v>
      </c>
      <c r="B15" s="193">
        <f t="shared" si="22"/>
        <v>23750.666666666668</v>
      </c>
      <c r="C15" s="193">
        <f t="shared" si="0"/>
        <v>24113.75</v>
      </c>
      <c r="D15" s="193">
        <f t="shared" si="0"/>
        <v>24365</v>
      </c>
      <c r="E15" s="193">
        <f t="shared" si="0"/>
        <v>24728.166666666668</v>
      </c>
      <c r="F15" s="193">
        <f t="shared" si="0"/>
        <v>24979.5</v>
      </c>
      <c r="G15" s="230"/>
      <c r="H15" s="82"/>
      <c r="I15" s="82"/>
      <c r="J15" s="82"/>
      <c r="K15" s="82"/>
      <c r="L15" s="76">
        <v>12</v>
      </c>
      <c r="M15" s="193">
        <f t="shared" si="1"/>
        <v>23750.666666666668</v>
      </c>
      <c r="N15" s="193">
        <f t="shared" si="1"/>
        <v>24113.75</v>
      </c>
      <c r="O15" s="193">
        <f t="shared" si="1"/>
        <v>24365</v>
      </c>
      <c r="P15" s="193">
        <f t="shared" si="1"/>
        <v>24728.166666666668</v>
      </c>
      <c r="Q15" s="193">
        <f t="shared" si="1"/>
        <v>24979.5</v>
      </c>
      <c r="R15" s="5"/>
      <c r="S15" s="80">
        <f t="shared" si="2"/>
        <v>18978395.083333332</v>
      </c>
      <c r="T15" s="80">
        <f t="shared" si="3"/>
        <v>13140536.25</v>
      </c>
      <c r="U15" s="80">
        <f t="shared" si="4"/>
        <v>18983359.75</v>
      </c>
      <c r="V15" s="80">
        <f t="shared" si="5"/>
        <v>13145501.083333334</v>
      </c>
      <c r="W15" s="5"/>
      <c r="X15" s="104">
        <v>12</v>
      </c>
      <c r="Y15" s="164">
        <v>176032</v>
      </c>
      <c r="Z15" s="186">
        <f t="shared" si="6"/>
        <v>178335</v>
      </c>
      <c r="AA15" s="165">
        <f t="shared" si="7"/>
        <v>285008</v>
      </c>
      <c r="AB15" s="114">
        <v>3384</v>
      </c>
      <c r="AC15" s="115">
        <v>5727</v>
      </c>
      <c r="AD15" s="115">
        <v>9112</v>
      </c>
      <c r="AE15" s="116">
        <v>11455</v>
      </c>
      <c r="AF15" s="115"/>
      <c r="AG15" s="115">
        <v>2726</v>
      </c>
      <c r="AH15" s="115">
        <v>4613</v>
      </c>
      <c r="AI15" s="115">
        <v>7340</v>
      </c>
      <c r="AJ15" s="115">
        <v>9227</v>
      </c>
      <c r="AK15" s="115"/>
      <c r="AL15" s="115">
        <f t="shared" si="8"/>
        <v>4357</v>
      </c>
      <c r="AM15" s="115">
        <f t="shared" si="8"/>
        <v>7372</v>
      </c>
      <c r="AN15" s="115">
        <f t="shared" si="8"/>
        <v>11730</v>
      </c>
      <c r="AO15" s="115">
        <f t="shared" si="8"/>
        <v>14746</v>
      </c>
      <c r="AP15" s="115"/>
      <c r="AQ15" s="187">
        <f t="shared" si="9"/>
        <v>285008</v>
      </c>
      <c r="AR15" s="188">
        <f t="shared" si="10"/>
        <v>289365</v>
      </c>
      <c r="AS15" s="189">
        <f t="shared" si="10"/>
        <v>292380</v>
      </c>
      <c r="AT15" s="189">
        <f t="shared" si="10"/>
        <v>296738</v>
      </c>
      <c r="AU15" s="190">
        <f t="shared" si="10"/>
        <v>299754</v>
      </c>
      <c r="AV15" s="5"/>
      <c r="AW15" s="114">
        <v>176032</v>
      </c>
      <c r="AX15" s="194">
        <f t="shared" si="24"/>
        <v>106673</v>
      </c>
      <c r="AY15" s="192">
        <f t="shared" si="25"/>
        <v>285008</v>
      </c>
      <c r="AZ15" s="5"/>
      <c r="BA15" s="81">
        <f t="shared" si="13"/>
        <v>4357</v>
      </c>
      <c r="BB15" s="81">
        <f t="shared" si="14"/>
        <v>7372</v>
      </c>
      <c r="BC15" s="81">
        <f t="shared" si="15"/>
        <v>11730</v>
      </c>
      <c r="BD15" s="81">
        <f t="shared" si="16"/>
        <v>14746</v>
      </c>
      <c r="BE15" s="76"/>
      <c r="BF15" s="81">
        <f t="shared" si="17"/>
        <v>285008</v>
      </c>
      <c r="BG15" s="81">
        <f t="shared" si="18"/>
        <v>289365</v>
      </c>
      <c r="BH15" s="81">
        <f t="shared" si="18"/>
        <v>292380</v>
      </c>
      <c r="BI15" s="81">
        <f t="shared" si="18"/>
        <v>296738</v>
      </c>
      <c r="BJ15" s="81">
        <f t="shared" si="18"/>
        <v>299754</v>
      </c>
      <c r="BK15" s="5"/>
      <c r="BL15" s="104">
        <v>12</v>
      </c>
      <c r="BM15" s="195">
        <f t="shared" ref="BM15:BQ59" si="26">ROUND(AQ15/1924,2)</f>
        <v>148.13</v>
      </c>
      <c r="BN15" s="195">
        <f t="shared" si="19"/>
        <v>150.4</v>
      </c>
      <c r="BO15" s="195">
        <f t="shared" si="19"/>
        <v>151.96</v>
      </c>
      <c r="BP15" s="195">
        <f t="shared" si="19"/>
        <v>154.22999999999999</v>
      </c>
      <c r="BQ15" s="195">
        <f t="shared" si="19"/>
        <v>155.80000000000001</v>
      </c>
      <c r="BR15" s="5"/>
      <c r="BS15" s="104">
        <v>12</v>
      </c>
      <c r="BT15" s="82">
        <f t="shared" si="20"/>
        <v>222.19958419958419</v>
      </c>
      <c r="BU15" s="82">
        <f t="shared" si="20"/>
        <v>225.59641372141374</v>
      </c>
      <c r="BV15" s="82">
        <f t="shared" si="20"/>
        <v>227.94698544698545</v>
      </c>
      <c r="BW15" s="82">
        <f t="shared" si="20"/>
        <v>231.34459459459461</v>
      </c>
      <c r="BX15" s="82">
        <f t="shared" si="20"/>
        <v>233.69594594594594</v>
      </c>
      <c r="BY15" s="5"/>
      <c r="BZ15" s="104">
        <v>12</v>
      </c>
      <c r="CA15" s="82">
        <f t="shared" si="21"/>
        <v>74.066528066528065</v>
      </c>
      <c r="CB15" s="82">
        <f t="shared" si="21"/>
        <v>75.19880457380458</v>
      </c>
      <c r="CC15" s="82">
        <f t="shared" si="21"/>
        <v>75.982328482328484</v>
      </c>
      <c r="CD15" s="82">
        <f t="shared" si="21"/>
        <v>77.11486486486487</v>
      </c>
      <c r="CE15" s="82">
        <f t="shared" si="21"/>
        <v>77.898648648648646</v>
      </c>
      <c r="CF15" s="5"/>
      <c r="CG15" s="5"/>
      <c r="CJ15" s="2"/>
      <c r="CK15" s="2"/>
      <c r="CL15" s="183">
        <v>12</v>
      </c>
      <c r="CM15" s="183">
        <f t="shared" si="23"/>
        <v>178335</v>
      </c>
      <c r="CN15" s="183">
        <v>12</v>
      </c>
      <c r="CO15" s="183">
        <v>176032</v>
      </c>
      <c r="CP15" s="183"/>
      <c r="CQ15" s="183">
        <f t="shared" ref="CQ15:CQ22" si="27">$CI$4</f>
        <v>382</v>
      </c>
      <c r="CR15" s="183">
        <f t="shared" ref="CR15:CR22" si="28">$CI$5</f>
        <v>1035</v>
      </c>
      <c r="CS15" s="183">
        <f t="shared" ref="CS15:CS17" si="29">$CI$6</f>
        <v>2303</v>
      </c>
    </row>
    <row r="16" spans="1:97" customFormat="1" ht="14.5" x14ac:dyDescent="0.35">
      <c r="A16">
        <v>13</v>
      </c>
      <c r="B16" s="193">
        <f t="shared" si="22"/>
        <v>24156.666666666668</v>
      </c>
      <c r="C16" s="193">
        <f t="shared" si="0"/>
        <v>24528.916666666668</v>
      </c>
      <c r="D16" s="193">
        <f t="shared" si="0"/>
        <v>24786.583333333332</v>
      </c>
      <c r="E16" s="193">
        <f t="shared" si="0"/>
        <v>25158.833333333332</v>
      </c>
      <c r="F16" s="193">
        <f t="shared" si="0"/>
        <v>25416.583333333332</v>
      </c>
      <c r="G16" s="230"/>
      <c r="H16" s="82"/>
      <c r="I16" s="82"/>
      <c r="J16" s="82"/>
      <c r="K16" s="82"/>
      <c r="L16" s="76">
        <v>13</v>
      </c>
      <c r="M16" s="193">
        <f t="shared" si="1"/>
        <v>24156.666666666668</v>
      </c>
      <c r="N16" s="193">
        <f t="shared" si="1"/>
        <v>24528.916666666668</v>
      </c>
      <c r="O16" s="193">
        <f t="shared" si="1"/>
        <v>24786.583333333332</v>
      </c>
      <c r="P16" s="193">
        <f t="shared" si="1"/>
        <v>25158.833333333332</v>
      </c>
      <c r="Q16" s="193">
        <f t="shared" si="1"/>
        <v>25416.583333333332</v>
      </c>
      <c r="S16" s="80">
        <f t="shared" si="2"/>
        <v>19457343.833333332</v>
      </c>
      <c r="T16" s="80">
        <f t="shared" si="3"/>
        <v>13475931.333333334</v>
      </c>
      <c r="U16" s="80">
        <f t="shared" si="4"/>
        <v>19457973.75</v>
      </c>
      <c r="V16" s="80">
        <f t="shared" si="5"/>
        <v>13480911.666666666</v>
      </c>
      <c r="X16" s="104">
        <v>13</v>
      </c>
      <c r="Y16" s="164">
        <v>179081</v>
      </c>
      <c r="Z16" s="186">
        <f t="shared" si="6"/>
        <v>181384</v>
      </c>
      <c r="AA16" s="165">
        <f t="shared" si="7"/>
        <v>289880</v>
      </c>
      <c r="AB16" s="114">
        <v>3470</v>
      </c>
      <c r="AC16" s="115">
        <v>5872</v>
      </c>
      <c r="AD16" s="115">
        <v>9342</v>
      </c>
      <c r="AE16" s="116">
        <v>11744</v>
      </c>
      <c r="AF16" s="115"/>
      <c r="AG16" s="115">
        <v>2795</v>
      </c>
      <c r="AH16" s="115">
        <v>4730</v>
      </c>
      <c r="AI16" s="115">
        <v>7525</v>
      </c>
      <c r="AJ16" s="115">
        <v>9460</v>
      </c>
      <c r="AK16" s="115"/>
      <c r="AL16" s="115">
        <f t="shared" si="8"/>
        <v>4467</v>
      </c>
      <c r="AM16" s="115">
        <f t="shared" si="8"/>
        <v>7559</v>
      </c>
      <c r="AN16" s="115">
        <f t="shared" si="8"/>
        <v>12026</v>
      </c>
      <c r="AO16" s="115">
        <f t="shared" si="8"/>
        <v>15119</v>
      </c>
      <c r="AP16" s="115"/>
      <c r="AQ16" s="187">
        <f t="shared" si="9"/>
        <v>289880</v>
      </c>
      <c r="AR16" s="188">
        <f t="shared" si="10"/>
        <v>294347</v>
      </c>
      <c r="AS16" s="189">
        <f t="shared" si="10"/>
        <v>297439</v>
      </c>
      <c r="AT16" s="189">
        <f t="shared" si="10"/>
        <v>301906</v>
      </c>
      <c r="AU16" s="190">
        <f t="shared" si="10"/>
        <v>304999</v>
      </c>
      <c r="AW16" s="114">
        <v>179081</v>
      </c>
      <c r="AX16" s="194">
        <f t="shared" si="24"/>
        <v>108496</v>
      </c>
      <c r="AY16" s="192">
        <f t="shared" si="25"/>
        <v>289880</v>
      </c>
      <c r="BA16" s="81">
        <f t="shared" si="13"/>
        <v>4467</v>
      </c>
      <c r="BB16" s="81">
        <f t="shared" si="14"/>
        <v>7559</v>
      </c>
      <c r="BC16" s="81">
        <f t="shared" si="15"/>
        <v>12026</v>
      </c>
      <c r="BD16" s="81">
        <f t="shared" si="16"/>
        <v>15119</v>
      </c>
      <c r="BE16" s="76"/>
      <c r="BF16" s="81">
        <f t="shared" si="17"/>
        <v>289880</v>
      </c>
      <c r="BG16" s="81">
        <f t="shared" si="18"/>
        <v>294347</v>
      </c>
      <c r="BH16" s="81">
        <f t="shared" si="18"/>
        <v>297439</v>
      </c>
      <c r="BI16" s="81">
        <f t="shared" si="18"/>
        <v>301906</v>
      </c>
      <c r="BJ16" s="81">
        <f t="shared" si="18"/>
        <v>304999</v>
      </c>
      <c r="BL16" s="104">
        <v>13</v>
      </c>
      <c r="BM16" s="193">
        <f t="shared" si="26"/>
        <v>150.66999999999999</v>
      </c>
      <c r="BN16" s="193">
        <f t="shared" si="19"/>
        <v>152.99</v>
      </c>
      <c r="BO16" s="193">
        <f t="shared" si="19"/>
        <v>154.59</v>
      </c>
      <c r="BP16" s="193">
        <f t="shared" si="19"/>
        <v>156.91999999999999</v>
      </c>
      <c r="BQ16" s="193">
        <f>ROUND(AU16/1924,2)</f>
        <v>158.52000000000001</v>
      </c>
      <c r="BS16" s="104">
        <v>13</v>
      </c>
      <c r="BT16" s="82">
        <f t="shared" si="20"/>
        <v>225.99792099792103</v>
      </c>
      <c r="BU16" s="82">
        <f t="shared" si="20"/>
        <v>229.48050935550935</v>
      </c>
      <c r="BV16" s="82">
        <f t="shared" si="20"/>
        <v>231.89111226611226</v>
      </c>
      <c r="BW16" s="82">
        <f t="shared" si="20"/>
        <v>235.37370062370064</v>
      </c>
      <c r="BX16" s="82">
        <f t="shared" si="20"/>
        <v>237.78508316008316</v>
      </c>
      <c r="BZ16" s="104">
        <v>13</v>
      </c>
      <c r="CA16" s="82">
        <f t="shared" si="21"/>
        <v>75.332640332640338</v>
      </c>
      <c r="CB16" s="82">
        <f t="shared" si="21"/>
        <v>76.493503118503114</v>
      </c>
      <c r="CC16" s="82">
        <f t="shared" si="21"/>
        <v>77.29703742203742</v>
      </c>
      <c r="CD16" s="82">
        <f t="shared" si="21"/>
        <v>78.457900207900209</v>
      </c>
      <c r="CE16" s="82">
        <f t="shared" si="21"/>
        <v>79.261694386694387</v>
      </c>
      <c r="CJ16" s="2"/>
      <c r="CK16" s="2"/>
      <c r="CL16" s="183">
        <v>13</v>
      </c>
      <c r="CM16" s="183">
        <f t="shared" si="23"/>
        <v>181384</v>
      </c>
      <c r="CN16" s="183">
        <v>13</v>
      </c>
      <c r="CO16" s="183">
        <v>179081</v>
      </c>
      <c r="CP16" s="183"/>
      <c r="CQ16" s="183">
        <f t="shared" si="27"/>
        <v>382</v>
      </c>
      <c r="CR16" s="183">
        <f t="shared" si="28"/>
        <v>1035</v>
      </c>
      <c r="CS16" s="183">
        <f t="shared" si="29"/>
        <v>2303</v>
      </c>
    </row>
    <row r="17" spans="1:97" s="5" customFormat="1" ht="14.5" x14ac:dyDescent="0.35">
      <c r="A17">
        <v>14</v>
      </c>
      <c r="B17" s="193">
        <f t="shared" si="22"/>
        <v>24574</v>
      </c>
      <c r="C17" s="193">
        <f t="shared" si="0"/>
        <v>24955.583333333332</v>
      </c>
      <c r="D17" s="193">
        <f t="shared" si="0"/>
        <v>25219.666666666668</v>
      </c>
      <c r="E17" s="193">
        <f t="shared" si="0"/>
        <v>25601.333333333332</v>
      </c>
      <c r="F17" s="193">
        <f t="shared" si="0"/>
        <v>25865.583333333332</v>
      </c>
      <c r="G17" s="230"/>
      <c r="H17" s="82"/>
      <c r="I17" s="82"/>
      <c r="J17" s="82"/>
      <c r="K17" s="82"/>
      <c r="L17" s="76">
        <v>14</v>
      </c>
      <c r="M17" s="193">
        <f t="shared" si="1"/>
        <v>24574</v>
      </c>
      <c r="N17" s="193">
        <f t="shared" si="1"/>
        <v>24955.583333333332</v>
      </c>
      <c r="O17" s="193">
        <f t="shared" si="1"/>
        <v>25219.666666666668</v>
      </c>
      <c r="P17" s="193">
        <f t="shared" si="1"/>
        <v>25601.333333333332</v>
      </c>
      <c r="Q17" s="193">
        <f t="shared" si="1"/>
        <v>25865.583333333332</v>
      </c>
      <c r="R17"/>
      <c r="S17" s="80">
        <f t="shared" si="2"/>
        <v>19945004.75</v>
      </c>
      <c r="T17" s="80">
        <f t="shared" si="3"/>
        <v>13811338</v>
      </c>
      <c r="U17" s="80">
        <f t="shared" si="4"/>
        <v>19950000.75</v>
      </c>
      <c r="V17" s="80">
        <f t="shared" si="5"/>
        <v>13820684.5</v>
      </c>
      <c r="W17"/>
      <c r="X17" s="104">
        <v>14</v>
      </c>
      <c r="Y17" s="164">
        <v>182214</v>
      </c>
      <c r="Z17" s="186">
        <f t="shared" si="6"/>
        <v>184517</v>
      </c>
      <c r="AA17" s="165">
        <f t="shared" si="7"/>
        <v>294888</v>
      </c>
      <c r="AB17" s="114">
        <v>3557</v>
      </c>
      <c r="AC17" s="115">
        <v>6019</v>
      </c>
      <c r="AD17" s="115">
        <v>9577</v>
      </c>
      <c r="AE17" s="116">
        <v>12039</v>
      </c>
      <c r="AF17" s="115"/>
      <c r="AG17" s="115">
        <v>2865</v>
      </c>
      <c r="AH17" s="115">
        <v>4848</v>
      </c>
      <c r="AI17" s="115">
        <v>7714</v>
      </c>
      <c r="AJ17" s="115">
        <v>9698</v>
      </c>
      <c r="AK17" s="115"/>
      <c r="AL17" s="115">
        <f t="shared" si="8"/>
        <v>4579</v>
      </c>
      <c r="AM17" s="115">
        <f t="shared" si="8"/>
        <v>7748</v>
      </c>
      <c r="AN17" s="115">
        <f t="shared" si="8"/>
        <v>12328</v>
      </c>
      <c r="AO17" s="115">
        <f t="shared" si="8"/>
        <v>15499</v>
      </c>
      <c r="AP17" s="115"/>
      <c r="AQ17" s="187">
        <f t="shared" si="9"/>
        <v>294888</v>
      </c>
      <c r="AR17" s="188">
        <f t="shared" si="10"/>
        <v>299467</v>
      </c>
      <c r="AS17" s="189">
        <f t="shared" si="10"/>
        <v>302636</v>
      </c>
      <c r="AT17" s="189">
        <f t="shared" si="10"/>
        <v>307216</v>
      </c>
      <c r="AU17" s="190">
        <f t="shared" si="10"/>
        <v>310387</v>
      </c>
      <c r="AV17"/>
      <c r="AW17" s="114">
        <v>182214</v>
      </c>
      <c r="AX17" s="194">
        <f t="shared" si="24"/>
        <v>110371</v>
      </c>
      <c r="AY17" s="192">
        <f t="shared" si="25"/>
        <v>294888</v>
      </c>
      <c r="AZ17"/>
      <c r="BA17" s="81">
        <f t="shared" si="13"/>
        <v>4579</v>
      </c>
      <c r="BB17" s="81">
        <f t="shared" si="14"/>
        <v>7748</v>
      </c>
      <c r="BC17" s="81">
        <f t="shared" si="15"/>
        <v>12328</v>
      </c>
      <c r="BD17" s="81">
        <f t="shared" si="16"/>
        <v>15499</v>
      </c>
      <c r="BE17" s="79"/>
      <c r="BF17" s="81">
        <f t="shared" si="17"/>
        <v>294888</v>
      </c>
      <c r="BG17" s="81">
        <f t="shared" si="18"/>
        <v>299467</v>
      </c>
      <c r="BH17" s="81">
        <f t="shared" si="18"/>
        <v>302636</v>
      </c>
      <c r="BI17" s="81">
        <f t="shared" si="18"/>
        <v>307216</v>
      </c>
      <c r="BJ17" s="81">
        <f t="shared" si="18"/>
        <v>310387</v>
      </c>
      <c r="BK17"/>
      <c r="BL17" s="104">
        <v>14</v>
      </c>
      <c r="BM17" s="193">
        <f t="shared" si="26"/>
        <v>153.27000000000001</v>
      </c>
      <c r="BN17" s="193">
        <f t="shared" si="19"/>
        <v>155.65</v>
      </c>
      <c r="BO17" s="193">
        <f t="shared" si="19"/>
        <v>157.30000000000001</v>
      </c>
      <c r="BP17" s="193">
        <f t="shared" si="19"/>
        <v>159.68</v>
      </c>
      <c r="BQ17" s="193">
        <f t="shared" si="19"/>
        <v>161.32</v>
      </c>
      <c r="BR17"/>
      <c r="BS17" s="104">
        <v>14</v>
      </c>
      <c r="BT17" s="82">
        <f t="shared" si="20"/>
        <v>229.9022869022869</v>
      </c>
      <c r="BU17" s="82">
        <f t="shared" si="20"/>
        <v>233.47219334719335</v>
      </c>
      <c r="BV17" s="82">
        <f t="shared" si="20"/>
        <v>235.94282744282742</v>
      </c>
      <c r="BW17" s="82">
        <f t="shared" si="20"/>
        <v>239.51351351351352</v>
      </c>
      <c r="BX17" s="82">
        <f t="shared" si="20"/>
        <v>241.98570686070687</v>
      </c>
      <c r="BY17"/>
      <c r="BZ17" s="104">
        <v>14</v>
      </c>
      <c r="CA17" s="82">
        <f t="shared" si="21"/>
        <v>76.63409563409563</v>
      </c>
      <c r="CB17" s="82">
        <f t="shared" si="21"/>
        <v>77.824064449064451</v>
      </c>
      <c r="CC17" s="82">
        <f t="shared" si="21"/>
        <v>78.647609147609145</v>
      </c>
      <c r="CD17" s="82">
        <f t="shared" si="21"/>
        <v>79.837837837837839</v>
      </c>
      <c r="CE17" s="82">
        <f t="shared" si="21"/>
        <v>80.66190228690229</v>
      </c>
      <c r="CF17"/>
      <c r="CG17"/>
      <c r="CH17"/>
      <c r="CI17"/>
      <c r="CJ17" s="2"/>
      <c r="CK17" s="2"/>
      <c r="CL17" s="183">
        <v>14</v>
      </c>
      <c r="CM17" s="183">
        <f t="shared" si="23"/>
        <v>184517</v>
      </c>
      <c r="CN17" s="183">
        <v>14</v>
      </c>
      <c r="CO17" s="183">
        <v>182214</v>
      </c>
      <c r="CP17" s="183"/>
      <c r="CQ17" s="183">
        <f t="shared" si="27"/>
        <v>382</v>
      </c>
      <c r="CR17" s="183">
        <f t="shared" si="28"/>
        <v>1035</v>
      </c>
      <c r="CS17" s="183">
        <f t="shared" si="29"/>
        <v>2303</v>
      </c>
    </row>
    <row r="18" spans="1:97" customFormat="1" ht="14.5" x14ac:dyDescent="0.35">
      <c r="A18">
        <v>15</v>
      </c>
      <c r="B18" s="193">
        <f t="shared" si="22"/>
        <v>24817.166666666668</v>
      </c>
      <c r="C18" s="193">
        <f t="shared" si="0"/>
        <v>25208.333333333332</v>
      </c>
      <c r="D18" s="193">
        <f t="shared" si="0"/>
        <v>25479.333333333332</v>
      </c>
      <c r="E18" s="193">
        <f t="shared" si="0"/>
        <v>25870.333333333332</v>
      </c>
      <c r="F18" s="193">
        <f t="shared" si="0"/>
        <v>26141.25</v>
      </c>
      <c r="G18" s="230"/>
      <c r="H18" s="82"/>
      <c r="I18" s="82"/>
      <c r="J18" s="82"/>
      <c r="K18" s="82"/>
      <c r="L18" s="76">
        <v>15</v>
      </c>
      <c r="M18" s="193">
        <f t="shared" si="1"/>
        <v>24986</v>
      </c>
      <c r="N18" s="193">
        <f t="shared" si="1"/>
        <v>25377.166666666668</v>
      </c>
      <c r="O18" s="193">
        <f t="shared" si="1"/>
        <v>25648.166666666668</v>
      </c>
      <c r="P18" s="193">
        <f t="shared" si="1"/>
        <v>26039.166666666668</v>
      </c>
      <c r="Q18" s="193">
        <f t="shared" si="1"/>
        <v>26310.083333333332</v>
      </c>
      <c r="S18" s="80">
        <f t="shared" si="2"/>
        <v>20445711.416666668</v>
      </c>
      <c r="T18" s="80">
        <f t="shared" si="3"/>
        <v>14172841.833333334</v>
      </c>
      <c r="U18" s="80">
        <f t="shared" si="4"/>
        <v>20437672.833333332</v>
      </c>
      <c r="V18" s="80">
        <f t="shared" si="5"/>
        <v>14169153.416666666</v>
      </c>
      <c r="X18" s="104">
        <v>15</v>
      </c>
      <c r="Y18" s="196">
        <v>185308</v>
      </c>
      <c r="Z18" s="197">
        <f t="shared" si="6"/>
        <v>186343</v>
      </c>
      <c r="AA18" s="198">
        <f t="shared" si="7"/>
        <v>297806</v>
      </c>
      <c r="AB18" s="120">
        <v>3646</v>
      </c>
      <c r="AC18" s="121">
        <v>6172</v>
      </c>
      <c r="AD18" s="121">
        <v>9818</v>
      </c>
      <c r="AE18" s="122">
        <v>12343</v>
      </c>
      <c r="AF18" s="121"/>
      <c r="AG18" s="121">
        <v>2937</v>
      </c>
      <c r="AH18" s="121">
        <v>4972</v>
      </c>
      <c r="AI18" s="121">
        <v>7908</v>
      </c>
      <c r="AJ18" s="121">
        <v>9942</v>
      </c>
      <c r="AK18" s="121"/>
      <c r="AL18" s="121">
        <f t="shared" si="8"/>
        <v>4694</v>
      </c>
      <c r="AM18" s="121">
        <f t="shared" si="8"/>
        <v>7946</v>
      </c>
      <c r="AN18" s="121">
        <f t="shared" si="8"/>
        <v>12638</v>
      </c>
      <c r="AO18" s="121">
        <f t="shared" si="8"/>
        <v>15889</v>
      </c>
      <c r="AP18" s="121"/>
      <c r="AQ18" s="199">
        <f t="shared" si="9"/>
        <v>297806</v>
      </c>
      <c r="AR18" s="200">
        <f t="shared" si="10"/>
        <v>302500</v>
      </c>
      <c r="AS18" s="201">
        <f t="shared" si="10"/>
        <v>305752</v>
      </c>
      <c r="AT18" s="201">
        <f t="shared" si="10"/>
        <v>310444</v>
      </c>
      <c r="AU18" s="202">
        <f t="shared" si="10"/>
        <v>313695</v>
      </c>
      <c r="AW18" s="120">
        <v>185308</v>
      </c>
      <c r="AX18" s="203">
        <f t="shared" si="24"/>
        <v>112221</v>
      </c>
      <c r="AY18" s="204">
        <f t="shared" si="25"/>
        <v>299832</v>
      </c>
      <c r="BA18" s="81">
        <f t="shared" si="13"/>
        <v>4694</v>
      </c>
      <c r="BB18" s="81">
        <f t="shared" si="14"/>
        <v>7946</v>
      </c>
      <c r="BC18" s="81">
        <f t="shared" si="15"/>
        <v>12638</v>
      </c>
      <c r="BD18" s="81">
        <f t="shared" si="16"/>
        <v>15889</v>
      </c>
      <c r="BE18" s="76"/>
      <c r="BF18" s="81">
        <f t="shared" si="17"/>
        <v>299832</v>
      </c>
      <c r="BG18" s="81">
        <f t="shared" si="18"/>
        <v>304526</v>
      </c>
      <c r="BH18" s="81">
        <f t="shared" si="18"/>
        <v>307778</v>
      </c>
      <c r="BI18" s="81">
        <f t="shared" si="18"/>
        <v>312470</v>
      </c>
      <c r="BJ18" s="81">
        <f t="shared" si="18"/>
        <v>315721</v>
      </c>
      <c r="BL18" s="104">
        <v>15</v>
      </c>
      <c r="BM18" s="193">
        <f t="shared" si="26"/>
        <v>154.78</v>
      </c>
      <c r="BN18" s="193">
        <f t="shared" si="19"/>
        <v>157.22</v>
      </c>
      <c r="BO18" s="193">
        <f t="shared" si="19"/>
        <v>158.91</v>
      </c>
      <c r="BP18" s="193">
        <f t="shared" si="19"/>
        <v>161.35</v>
      </c>
      <c r="BQ18" s="193">
        <f t="shared" si="19"/>
        <v>163.04</v>
      </c>
      <c r="BS18" s="104">
        <v>15</v>
      </c>
      <c r="BT18" s="82">
        <f t="shared" si="20"/>
        <v>232.17723492723493</v>
      </c>
      <c r="BU18" s="82">
        <f t="shared" si="20"/>
        <v>235.83679833679832</v>
      </c>
      <c r="BV18" s="82">
        <f t="shared" si="20"/>
        <v>238.37214137214136</v>
      </c>
      <c r="BW18" s="82">
        <f t="shared" si="20"/>
        <v>242.03014553014555</v>
      </c>
      <c r="BX18" s="82">
        <f t="shared" si="20"/>
        <v>244.56470893970894</v>
      </c>
      <c r="BZ18" s="104">
        <v>15</v>
      </c>
      <c r="CA18" s="82">
        <f t="shared" si="21"/>
        <v>77.392411642411645</v>
      </c>
      <c r="CB18" s="82">
        <f t="shared" si="21"/>
        <v>78.612266112266113</v>
      </c>
      <c r="CC18" s="82">
        <f t="shared" si="21"/>
        <v>79.457380457380452</v>
      </c>
      <c r="CD18" s="82">
        <f t="shared" si="21"/>
        <v>80.676715176715177</v>
      </c>
      <c r="CE18" s="82">
        <f t="shared" si="21"/>
        <v>81.521569646569645</v>
      </c>
      <c r="CJ18" s="2"/>
      <c r="CK18" s="205">
        <f t="shared" ref="CK18:CK22" si="30">ROUND(CM18*1.456933,0)</f>
        <v>271489</v>
      </c>
      <c r="CL18" s="183">
        <v>15</v>
      </c>
      <c r="CM18" s="183">
        <f t="shared" si="23"/>
        <v>186343</v>
      </c>
      <c r="CN18" s="183">
        <v>15</v>
      </c>
      <c r="CO18" s="183">
        <v>185308</v>
      </c>
      <c r="CP18" s="183"/>
      <c r="CQ18" s="183">
        <f t="shared" si="27"/>
        <v>382</v>
      </c>
      <c r="CR18" s="183">
        <f t="shared" si="28"/>
        <v>1035</v>
      </c>
      <c r="CS18" s="183">
        <f>CR18</f>
        <v>1035</v>
      </c>
    </row>
    <row r="19" spans="1:97" customFormat="1" ht="14.5" x14ac:dyDescent="0.35">
      <c r="A19">
        <v>16</v>
      </c>
      <c r="B19" s="193">
        <f t="shared" si="22"/>
        <v>25238.916666666668</v>
      </c>
      <c r="C19" s="193">
        <f t="shared" si="0"/>
        <v>25639.916666666668</v>
      </c>
      <c r="D19" s="193">
        <f t="shared" si="0"/>
        <v>25917.583333333332</v>
      </c>
      <c r="E19" s="193">
        <f t="shared" si="0"/>
        <v>26318.583333333332</v>
      </c>
      <c r="F19" s="193">
        <f t="shared" si="0"/>
        <v>26596.583333333332</v>
      </c>
      <c r="G19" s="230"/>
      <c r="H19" s="82"/>
      <c r="I19" s="82"/>
      <c r="J19" s="82"/>
      <c r="K19" s="82"/>
      <c r="L19" s="76">
        <v>16</v>
      </c>
      <c r="M19" s="193">
        <f t="shared" si="1"/>
        <v>25407.833333333332</v>
      </c>
      <c r="N19" s="193">
        <f t="shared" si="1"/>
        <v>25808.833333333332</v>
      </c>
      <c r="O19" s="193">
        <f t="shared" si="1"/>
        <v>26086.5</v>
      </c>
      <c r="P19" s="193">
        <f t="shared" si="1"/>
        <v>26487.5</v>
      </c>
      <c r="Q19" s="193">
        <f t="shared" si="1"/>
        <v>26765.5</v>
      </c>
      <c r="S19" s="80">
        <f t="shared" si="2"/>
        <v>20959479.166666668</v>
      </c>
      <c r="T19" s="80">
        <f t="shared" si="3"/>
        <v>14521304.583333334</v>
      </c>
      <c r="U19" s="80">
        <f t="shared" si="4"/>
        <v>20960157.833333332</v>
      </c>
      <c r="V19" s="80">
        <f t="shared" si="5"/>
        <v>14539384.833333334</v>
      </c>
      <c r="X19" s="104">
        <v>16</v>
      </c>
      <c r="Y19" s="164">
        <v>188475</v>
      </c>
      <c r="Z19" s="186">
        <f t="shared" si="6"/>
        <v>189510</v>
      </c>
      <c r="AA19" s="165">
        <f t="shared" si="7"/>
        <v>302867</v>
      </c>
      <c r="AB19" s="114">
        <v>3738</v>
      </c>
      <c r="AC19" s="115">
        <v>6327</v>
      </c>
      <c r="AD19" s="115">
        <v>10065</v>
      </c>
      <c r="AE19" s="116">
        <v>12655</v>
      </c>
      <c r="AF19" s="115"/>
      <c r="AG19" s="115">
        <v>3011</v>
      </c>
      <c r="AH19" s="115">
        <v>5096</v>
      </c>
      <c r="AI19" s="115">
        <v>8107</v>
      </c>
      <c r="AJ19" s="115">
        <v>10194</v>
      </c>
      <c r="AK19" s="115"/>
      <c r="AL19" s="115">
        <f t="shared" si="8"/>
        <v>4812</v>
      </c>
      <c r="AM19" s="115">
        <f t="shared" si="8"/>
        <v>8144</v>
      </c>
      <c r="AN19" s="115">
        <f t="shared" si="8"/>
        <v>12956</v>
      </c>
      <c r="AO19" s="115">
        <f t="shared" si="8"/>
        <v>16292</v>
      </c>
      <c r="AP19" s="115"/>
      <c r="AQ19" s="187">
        <f t="shared" si="9"/>
        <v>302867</v>
      </c>
      <c r="AR19" s="188">
        <f t="shared" si="10"/>
        <v>307679</v>
      </c>
      <c r="AS19" s="189">
        <f t="shared" si="10"/>
        <v>311011</v>
      </c>
      <c r="AT19" s="189">
        <f t="shared" si="10"/>
        <v>315823</v>
      </c>
      <c r="AU19" s="190">
        <f t="shared" si="10"/>
        <v>319159</v>
      </c>
      <c r="AW19" s="114">
        <v>188475</v>
      </c>
      <c r="AX19" s="194">
        <f t="shared" si="24"/>
        <v>114116</v>
      </c>
      <c r="AY19" s="192">
        <f t="shared" si="25"/>
        <v>304894</v>
      </c>
      <c r="BA19" s="81">
        <f t="shared" si="13"/>
        <v>4812</v>
      </c>
      <c r="BB19" s="81">
        <f t="shared" si="14"/>
        <v>8144</v>
      </c>
      <c r="BC19" s="81">
        <f t="shared" si="15"/>
        <v>12956</v>
      </c>
      <c r="BD19" s="81">
        <f t="shared" si="16"/>
        <v>16292</v>
      </c>
      <c r="BE19" s="76"/>
      <c r="BF19" s="81">
        <f t="shared" si="17"/>
        <v>304894</v>
      </c>
      <c r="BG19" s="81">
        <f t="shared" si="18"/>
        <v>309706</v>
      </c>
      <c r="BH19" s="81">
        <f t="shared" si="18"/>
        <v>313038</v>
      </c>
      <c r="BI19" s="81">
        <f t="shared" si="18"/>
        <v>317850</v>
      </c>
      <c r="BJ19" s="81">
        <f t="shared" si="18"/>
        <v>321186</v>
      </c>
      <c r="BL19" s="104">
        <v>16</v>
      </c>
      <c r="BM19" s="193">
        <f t="shared" si="26"/>
        <v>157.41999999999999</v>
      </c>
      <c r="BN19" s="193">
        <f t="shared" si="19"/>
        <v>159.91999999999999</v>
      </c>
      <c r="BO19" s="193">
        <f t="shared" si="19"/>
        <v>161.65</v>
      </c>
      <c r="BP19" s="193">
        <f t="shared" si="19"/>
        <v>164.15</v>
      </c>
      <c r="BQ19" s="193">
        <f t="shared" si="19"/>
        <v>165.88</v>
      </c>
      <c r="BS19" s="104">
        <v>16</v>
      </c>
      <c r="BT19" s="82">
        <f t="shared" si="20"/>
        <v>236.12292099792103</v>
      </c>
      <c r="BU19" s="82">
        <f t="shared" si="20"/>
        <v>239.87448024948026</v>
      </c>
      <c r="BV19" s="82">
        <f t="shared" si="20"/>
        <v>242.47219334719335</v>
      </c>
      <c r="BW19" s="82">
        <f t="shared" si="20"/>
        <v>246.22375259875258</v>
      </c>
      <c r="BX19" s="82">
        <f t="shared" si="20"/>
        <v>248.82458419958419</v>
      </c>
      <c r="BZ19" s="104">
        <v>16</v>
      </c>
      <c r="CA19" s="82">
        <f t="shared" si="21"/>
        <v>78.707640332640338</v>
      </c>
      <c r="CB19" s="82">
        <f t="shared" si="21"/>
        <v>79.958160083160081</v>
      </c>
      <c r="CC19" s="82">
        <f t="shared" si="21"/>
        <v>80.824064449064451</v>
      </c>
      <c r="CD19" s="82">
        <f t="shared" si="21"/>
        <v>82.074584199584194</v>
      </c>
      <c r="CE19" s="82">
        <f t="shared" si="21"/>
        <v>82.941528066528065</v>
      </c>
      <c r="CJ19" s="2"/>
      <c r="CK19" s="205">
        <f t="shared" si="30"/>
        <v>276103</v>
      </c>
      <c r="CL19" s="183">
        <v>16</v>
      </c>
      <c r="CM19" s="183">
        <f t="shared" si="23"/>
        <v>189510</v>
      </c>
      <c r="CN19" s="183">
        <v>16</v>
      </c>
      <c r="CO19" s="183">
        <v>188475</v>
      </c>
      <c r="CP19" s="183"/>
      <c r="CQ19" s="183">
        <f t="shared" si="27"/>
        <v>382</v>
      </c>
      <c r="CR19" s="183">
        <f t="shared" si="28"/>
        <v>1035</v>
      </c>
      <c r="CS19" s="183">
        <f t="shared" ref="CS19:CS25" si="31">CR19</f>
        <v>1035</v>
      </c>
    </row>
    <row r="20" spans="1:97" customFormat="1" ht="14.5" x14ac:dyDescent="0.35">
      <c r="A20">
        <v>17</v>
      </c>
      <c r="B20" s="193">
        <f t="shared" si="22"/>
        <v>25589.333333333332</v>
      </c>
      <c r="C20" s="193">
        <f t="shared" si="0"/>
        <v>26002.416666666668</v>
      </c>
      <c r="D20" s="193">
        <f t="shared" si="0"/>
        <v>26288.5</v>
      </c>
      <c r="E20" s="193">
        <f t="shared" si="0"/>
        <v>26701.75</v>
      </c>
      <c r="F20" s="193">
        <f t="shared" si="0"/>
        <v>26987.75</v>
      </c>
      <c r="G20" s="230"/>
      <c r="H20" s="82"/>
      <c r="I20" s="82"/>
      <c r="J20" s="82"/>
      <c r="K20" s="82"/>
      <c r="L20" s="76">
        <v>17</v>
      </c>
      <c r="M20" s="193">
        <f t="shared" si="1"/>
        <v>25758.166666666668</v>
      </c>
      <c r="N20" s="193">
        <f t="shared" si="1"/>
        <v>26171.25</v>
      </c>
      <c r="O20" s="193">
        <f t="shared" si="1"/>
        <v>26457.333333333332</v>
      </c>
      <c r="P20" s="193">
        <f t="shared" si="1"/>
        <v>26870.583333333332</v>
      </c>
      <c r="Q20" s="193">
        <f t="shared" si="1"/>
        <v>27156.583333333332</v>
      </c>
      <c r="S20" s="80">
        <f t="shared" si="2"/>
        <v>21590635.916666668</v>
      </c>
      <c r="T20" s="80">
        <f t="shared" si="3"/>
        <v>14961056.333333334</v>
      </c>
      <c r="U20" s="80">
        <f t="shared" si="4"/>
        <v>21600035.833333332</v>
      </c>
      <c r="V20" s="80">
        <f t="shared" si="5"/>
        <v>14957405.25</v>
      </c>
      <c r="X20" s="104">
        <v>17</v>
      </c>
      <c r="Y20" s="164">
        <v>191106</v>
      </c>
      <c r="Z20" s="186">
        <f t="shared" si="6"/>
        <v>192141</v>
      </c>
      <c r="AA20" s="165">
        <f t="shared" si="7"/>
        <v>307072</v>
      </c>
      <c r="AB20" s="114">
        <v>3851</v>
      </c>
      <c r="AC20" s="115">
        <v>6518</v>
      </c>
      <c r="AD20" s="115">
        <v>10370</v>
      </c>
      <c r="AE20" s="116">
        <v>13035</v>
      </c>
      <c r="AF20" s="115"/>
      <c r="AG20" s="115">
        <v>3102</v>
      </c>
      <c r="AH20" s="115">
        <v>5250</v>
      </c>
      <c r="AI20" s="115">
        <v>8353</v>
      </c>
      <c r="AJ20" s="115">
        <v>10500</v>
      </c>
      <c r="AK20" s="115"/>
      <c r="AL20" s="115">
        <f t="shared" si="8"/>
        <v>4957</v>
      </c>
      <c r="AM20" s="115">
        <f t="shared" si="8"/>
        <v>8390</v>
      </c>
      <c r="AN20" s="115">
        <f t="shared" si="8"/>
        <v>13349</v>
      </c>
      <c r="AO20" s="115">
        <f t="shared" si="8"/>
        <v>16781</v>
      </c>
      <c r="AP20" s="115"/>
      <c r="AQ20" s="187">
        <f t="shared" si="9"/>
        <v>307072</v>
      </c>
      <c r="AR20" s="188">
        <f t="shared" si="10"/>
        <v>312029</v>
      </c>
      <c r="AS20" s="189">
        <f t="shared" si="10"/>
        <v>315462</v>
      </c>
      <c r="AT20" s="189">
        <f t="shared" si="10"/>
        <v>320421</v>
      </c>
      <c r="AU20" s="190">
        <f t="shared" si="10"/>
        <v>323853</v>
      </c>
      <c r="AW20" s="114">
        <v>191106</v>
      </c>
      <c r="AX20" s="194">
        <f t="shared" si="24"/>
        <v>115689</v>
      </c>
      <c r="AY20" s="192">
        <f t="shared" si="25"/>
        <v>309098</v>
      </c>
      <c r="BA20" s="81">
        <f t="shared" si="13"/>
        <v>4957</v>
      </c>
      <c r="BB20" s="81">
        <f t="shared" si="14"/>
        <v>8390</v>
      </c>
      <c r="BC20" s="81">
        <f t="shared" si="15"/>
        <v>13349</v>
      </c>
      <c r="BD20" s="81">
        <f t="shared" si="16"/>
        <v>16781</v>
      </c>
      <c r="BE20" s="76"/>
      <c r="BF20" s="81">
        <f t="shared" si="17"/>
        <v>309098</v>
      </c>
      <c r="BG20" s="81">
        <f t="shared" si="18"/>
        <v>314055</v>
      </c>
      <c r="BH20" s="81">
        <f t="shared" si="18"/>
        <v>317488</v>
      </c>
      <c r="BI20" s="81">
        <f t="shared" si="18"/>
        <v>322447</v>
      </c>
      <c r="BJ20" s="81">
        <f t="shared" si="18"/>
        <v>325879</v>
      </c>
      <c r="BL20" s="104">
        <v>17</v>
      </c>
      <c r="BM20" s="193">
        <f t="shared" si="26"/>
        <v>159.6</v>
      </c>
      <c r="BN20" s="193">
        <f t="shared" si="26"/>
        <v>162.18</v>
      </c>
      <c r="BO20" s="193">
        <f t="shared" si="26"/>
        <v>163.96</v>
      </c>
      <c r="BP20" s="193">
        <f t="shared" si="26"/>
        <v>166.54</v>
      </c>
      <c r="BQ20" s="193">
        <f t="shared" si="26"/>
        <v>168.32</v>
      </c>
      <c r="BS20" s="104">
        <v>17</v>
      </c>
      <c r="BT20" s="82">
        <f t="shared" si="20"/>
        <v>239.40124740124742</v>
      </c>
      <c r="BU20" s="82">
        <f t="shared" si="20"/>
        <v>243.26585239085239</v>
      </c>
      <c r="BV20" s="82">
        <f t="shared" si="20"/>
        <v>245.94230769230768</v>
      </c>
      <c r="BW20" s="82">
        <f t="shared" si="20"/>
        <v>249.80847193347194</v>
      </c>
      <c r="BX20" s="82">
        <f t="shared" si="20"/>
        <v>252.48414760914761</v>
      </c>
      <c r="BZ20" s="104">
        <v>17</v>
      </c>
      <c r="CA20" s="82">
        <f t="shared" si="21"/>
        <v>79.800415800415806</v>
      </c>
      <c r="CB20" s="82">
        <f t="shared" si="21"/>
        <v>81.088617463617467</v>
      </c>
      <c r="CC20" s="82">
        <f t="shared" si="21"/>
        <v>81.980769230769226</v>
      </c>
      <c r="CD20" s="82">
        <f t="shared" si="21"/>
        <v>83.269490644490645</v>
      </c>
      <c r="CE20" s="82">
        <f t="shared" si="21"/>
        <v>84.161382536382533</v>
      </c>
      <c r="CJ20" s="2"/>
      <c r="CK20" s="205">
        <f t="shared" si="30"/>
        <v>279937</v>
      </c>
      <c r="CL20" s="183">
        <v>17</v>
      </c>
      <c r="CM20" s="183">
        <f t="shared" si="23"/>
        <v>192141</v>
      </c>
      <c r="CN20" s="183">
        <v>17</v>
      </c>
      <c r="CO20" s="183">
        <v>191106</v>
      </c>
      <c r="CP20" s="183"/>
      <c r="CQ20" s="183">
        <f t="shared" si="27"/>
        <v>382</v>
      </c>
      <c r="CR20" s="183">
        <f t="shared" si="28"/>
        <v>1035</v>
      </c>
      <c r="CS20" s="183">
        <f t="shared" si="31"/>
        <v>1035</v>
      </c>
    </row>
    <row r="21" spans="1:97" customFormat="1" ht="14.5" x14ac:dyDescent="0.35">
      <c r="A21">
        <v>18</v>
      </c>
      <c r="B21" s="193">
        <f t="shared" si="22"/>
        <v>26056.666666666668</v>
      </c>
      <c r="C21" s="193">
        <f t="shared" si="0"/>
        <v>26480.333333333332</v>
      </c>
      <c r="D21" s="193">
        <f t="shared" si="0"/>
        <v>26773.583333333332</v>
      </c>
      <c r="E21" s="193">
        <f t="shared" si="0"/>
        <v>27197.333333333332</v>
      </c>
      <c r="F21" s="193">
        <f t="shared" si="0"/>
        <v>27490.583333333332</v>
      </c>
      <c r="G21" s="230"/>
      <c r="H21" s="82"/>
      <c r="I21" s="82"/>
      <c r="J21" s="82"/>
      <c r="K21" s="82"/>
      <c r="L21" s="76">
        <v>18</v>
      </c>
      <c r="M21" s="193">
        <f t="shared" si="1"/>
        <v>26225.5</v>
      </c>
      <c r="N21" s="193">
        <f t="shared" si="1"/>
        <v>26649.166666666668</v>
      </c>
      <c r="O21" s="193">
        <f t="shared" si="1"/>
        <v>26942.416666666668</v>
      </c>
      <c r="P21" s="193">
        <f t="shared" si="1"/>
        <v>27366.166666666668</v>
      </c>
      <c r="Q21" s="193">
        <f t="shared" si="1"/>
        <v>27659.416666666668</v>
      </c>
      <c r="S21" s="80">
        <f t="shared" si="2"/>
        <v>22143602.583333332</v>
      </c>
      <c r="T21" s="80">
        <f t="shared" si="3"/>
        <v>15335667.666666666</v>
      </c>
      <c r="U21" s="80">
        <f t="shared" si="4"/>
        <v>22148669.916666668</v>
      </c>
      <c r="V21" s="80">
        <f t="shared" si="5"/>
        <v>15336384.666666666</v>
      </c>
      <c r="X21" s="104">
        <v>18</v>
      </c>
      <c r="Y21" s="164">
        <v>194615</v>
      </c>
      <c r="Z21" s="186">
        <f t="shared" si="6"/>
        <v>195650</v>
      </c>
      <c r="AA21" s="165">
        <f t="shared" si="7"/>
        <v>312680</v>
      </c>
      <c r="AB21" s="114">
        <v>3949</v>
      </c>
      <c r="AC21" s="115">
        <v>6683</v>
      </c>
      <c r="AD21" s="115">
        <v>10633</v>
      </c>
      <c r="AE21" s="116">
        <v>13367</v>
      </c>
      <c r="AF21" s="115"/>
      <c r="AG21" s="115">
        <v>3181</v>
      </c>
      <c r="AH21" s="115">
        <v>5383</v>
      </c>
      <c r="AI21" s="115">
        <v>8565</v>
      </c>
      <c r="AJ21" s="115">
        <v>10767</v>
      </c>
      <c r="AK21" s="115"/>
      <c r="AL21" s="115">
        <f t="shared" si="8"/>
        <v>5084</v>
      </c>
      <c r="AM21" s="115">
        <f t="shared" si="8"/>
        <v>8603</v>
      </c>
      <c r="AN21" s="115">
        <f t="shared" si="8"/>
        <v>13688</v>
      </c>
      <c r="AO21" s="115">
        <f t="shared" si="8"/>
        <v>17207</v>
      </c>
      <c r="AP21" s="115"/>
      <c r="AQ21" s="187">
        <f t="shared" si="9"/>
        <v>312680</v>
      </c>
      <c r="AR21" s="188">
        <f t="shared" si="10"/>
        <v>317764</v>
      </c>
      <c r="AS21" s="189">
        <f t="shared" si="10"/>
        <v>321283</v>
      </c>
      <c r="AT21" s="189">
        <f t="shared" si="10"/>
        <v>326368</v>
      </c>
      <c r="AU21" s="190">
        <f t="shared" si="10"/>
        <v>329887</v>
      </c>
      <c r="AW21" s="114">
        <v>194615</v>
      </c>
      <c r="AX21" s="194">
        <f t="shared" si="24"/>
        <v>117788</v>
      </c>
      <c r="AY21" s="192">
        <f t="shared" si="25"/>
        <v>314706</v>
      </c>
      <c r="BA21" s="81">
        <f t="shared" si="13"/>
        <v>5084</v>
      </c>
      <c r="BB21" s="81">
        <f t="shared" si="14"/>
        <v>8603</v>
      </c>
      <c r="BC21" s="81">
        <f t="shared" si="15"/>
        <v>13688</v>
      </c>
      <c r="BD21" s="81">
        <f t="shared" si="16"/>
        <v>17207</v>
      </c>
      <c r="BE21" s="76"/>
      <c r="BF21" s="81">
        <f t="shared" si="17"/>
        <v>314706</v>
      </c>
      <c r="BG21" s="81">
        <f t="shared" si="18"/>
        <v>319790</v>
      </c>
      <c r="BH21" s="81">
        <f t="shared" si="18"/>
        <v>323309</v>
      </c>
      <c r="BI21" s="81">
        <f t="shared" si="18"/>
        <v>328394</v>
      </c>
      <c r="BJ21" s="81">
        <f t="shared" si="18"/>
        <v>331913</v>
      </c>
      <c r="BL21" s="104">
        <v>18</v>
      </c>
      <c r="BM21" s="193">
        <f t="shared" si="26"/>
        <v>162.52000000000001</v>
      </c>
      <c r="BN21" s="193">
        <f t="shared" si="26"/>
        <v>165.16</v>
      </c>
      <c r="BO21" s="193">
        <f t="shared" si="26"/>
        <v>166.99</v>
      </c>
      <c r="BP21" s="193">
        <f t="shared" si="26"/>
        <v>169.63</v>
      </c>
      <c r="BQ21" s="193">
        <f t="shared" si="26"/>
        <v>171.46</v>
      </c>
      <c r="BS21" s="104">
        <v>18</v>
      </c>
      <c r="BT21" s="82">
        <f t="shared" si="20"/>
        <v>243.77338877338877</v>
      </c>
      <c r="BU21" s="82">
        <f t="shared" si="20"/>
        <v>247.73700623700626</v>
      </c>
      <c r="BV21" s="82">
        <f t="shared" si="20"/>
        <v>250.48050935550935</v>
      </c>
      <c r="BW21" s="82">
        <f t="shared" si="20"/>
        <v>254.44490644490645</v>
      </c>
      <c r="BX21" s="82">
        <f t="shared" si="20"/>
        <v>257.18840956340955</v>
      </c>
      <c r="BZ21" s="104">
        <v>18</v>
      </c>
      <c r="CA21" s="82">
        <f t="shared" si="21"/>
        <v>81.257796257796258</v>
      </c>
      <c r="CB21" s="82">
        <f t="shared" si="21"/>
        <v>82.57900207900208</v>
      </c>
      <c r="CC21" s="82">
        <f t="shared" si="21"/>
        <v>83.493503118503114</v>
      </c>
      <c r="CD21" s="82">
        <f t="shared" si="21"/>
        <v>84.814968814968822</v>
      </c>
      <c r="CE21" s="82">
        <f t="shared" si="21"/>
        <v>85.729469854469855</v>
      </c>
      <c r="CJ21" s="2"/>
      <c r="CK21" s="205">
        <f t="shared" si="30"/>
        <v>285049</v>
      </c>
      <c r="CL21" s="183">
        <v>18</v>
      </c>
      <c r="CM21" s="183">
        <f t="shared" si="23"/>
        <v>195650</v>
      </c>
      <c r="CN21" s="183">
        <v>18</v>
      </c>
      <c r="CO21" s="183">
        <v>194615</v>
      </c>
      <c r="CP21" s="183"/>
      <c r="CQ21" s="183">
        <f t="shared" si="27"/>
        <v>382</v>
      </c>
      <c r="CR21" s="183">
        <f t="shared" si="28"/>
        <v>1035</v>
      </c>
      <c r="CS21" s="183">
        <f t="shared" si="31"/>
        <v>1035</v>
      </c>
    </row>
    <row r="22" spans="1:97" customFormat="1" ht="14.5" x14ac:dyDescent="0.35">
      <c r="A22">
        <v>19</v>
      </c>
      <c r="B22" s="193">
        <f t="shared" si="22"/>
        <v>26406.5</v>
      </c>
      <c r="C22" s="193">
        <f t="shared" si="0"/>
        <v>26840.916666666668</v>
      </c>
      <c r="D22" s="193">
        <f t="shared" si="0"/>
        <v>27141.75</v>
      </c>
      <c r="E22" s="193">
        <f t="shared" si="0"/>
        <v>27576.25</v>
      </c>
      <c r="F22" s="193">
        <f t="shared" si="0"/>
        <v>27877.083333333332</v>
      </c>
      <c r="G22" s="230"/>
      <c r="H22" s="82"/>
      <c r="I22" s="82"/>
      <c r="J22" s="82"/>
      <c r="K22" s="82"/>
      <c r="L22" s="76">
        <v>19</v>
      </c>
      <c r="M22" s="193">
        <f t="shared" si="1"/>
        <v>26575.416666666668</v>
      </c>
      <c r="N22" s="193">
        <f t="shared" si="1"/>
        <v>27009.833333333332</v>
      </c>
      <c r="O22" s="193">
        <f t="shared" si="1"/>
        <v>27310.666666666668</v>
      </c>
      <c r="P22" s="193">
        <f t="shared" si="1"/>
        <v>27745.166666666668</v>
      </c>
      <c r="Q22" s="193">
        <f t="shared" si="1"/>
        <v>28046</v>
      </c>
      <c r="S22" s="80">
        <f t="shared" si="2"/>
        <v>22705152.666666668</v>
      </c>
      <c r="T22" s="80">
        <f t="shared" si="3"/>
        <v>15731913.75</v>
      </c>
      <c r="U22" s="80">
        <f t="shared" si="4"/>
        <v>22710238.333333332</v>
      </c>
      <c r="V22" s="80">
        <f t="shared" si="5"/>
        <v>15732649.083333334</v>
      </c>
      <c r="X22" s="104">
        <v>19</v>
      </c>
      <c r="Y22" s="164">
        <v>197242</v>
      </c>
      <c r="Z22" s="186">
        <f t="shared" si="6"/>
        <v>198277</v>
      </c>
      <c r="AA22" s="165">
        <f t="shared" si="7"/>
        <v>316878</v>
      </c>
      <c r="AB22" s="114">
        <v>4050</v>
      </c>
      <c r="AC22" s="115">
        <v>6854</v>
      </c>
      <c r="AD22" s="115">
        <v>10904</v>
      </c>
      <c r="AE22" s="116">
        <v>13708</v>
      </c>
      <c r="AF22" s="115"/>
      <c r="AG22" s="115">
        <v>3262</v>
      </c>
      <c r="AH22" s="115">
        <v>5521</v>
      </c>
      <c r="AI22" s="115">
        <v>8783</v>
      </c>
      <c r="AJ22" s="115">
        <v>11042</v>
      </c>
      <c r="AK22" s="115"/>
      <c r="AL22" s="115">
        <f t="shared" si="8"/>
        <v>5213</v>
      </c>
      <c r="AM22" s="115">
        <f t="shared" si="8"/>
        <v>8823</v>
      </c>
      <c r="AN22" s="115">
        <f t="shared" si="8"/>
        <v>14037</v>
      </c>
      <c r="AO22" s="115">
        <f t="shared" si="8"/>
        <v>17647</v>
      </c>
      <c r="AP22" s="115"/>
      <c r="AQ22" s="187">
        <f t="shared" si="9"/>
        <v>316878</v>
      </c>
      <c r="AR22" s="188">
        <f t="shared" si="10"/>
        <v>322091</v>
      </c>
      <c r="AS22" s="189">
        <f t="shared" si="10"/>
        <v>325701</v>
      </c>
      <c r="AT22" s="189">
        <f t="shared" si="10"/>
        <v>330915</v>
      </c>
      <c r="AU22" s="190">
        <f t="shared" si="10"/>
        <v>334525</v>
      </c>
      <c r="AW22" s="114">
        <v>197242</v>
      </c>
      <c r="AX22" s="194">
        <f t="shared" si="24"/>
        <v>119360</v>
      </c>
      <c r="AY22" s="192">
        <f t="shared" si="25"/>
        <v>318905</v>
      </c>
      <c r="BA22" s="81">
        <f t="shared" si="13"/>
        <v>5213</v>
      </c>
      <c r="BB22" s="81">
        <f t="shared" si="14"/>
        <v>8823</v>
      </c>
      <c r="BC22" s="81">
        <f t="shared" si="15"/>
        <v>14037</v>
      </c>
      <c r="BD22" s="81">
        <f t="shared" si="16"/>
        <v>17647</v>
      </c>
      <c r="BE22" s="81">
        <f>BF22/12</f>
        <v>26575.416666666668</v>
      </c>
      <c r="BF22" s="81">
        <f t="shared" si="17"/>
        <v>318905</v>
      </c>
      <c r="BG22" s="81">
        <f t="shared" si="18"/>
        <v>324118</v>
      </c>
      <c r="BH22" s="81">
        <f t="shared" si="18"/>
        <v>327728</v>
      </c>
      <c r="BI22" s="81">
        <f t="shared" si="18"/>
        <v>332942</v>
      </c>
      <c r="BJ22" s="81">
        <f t="shared" si="18"/>
        <v>336552</v>
      </c>
      <c r="BL22" s="104">
        <v>19</v>
      </c>
      <c r="BM22" s="193">
        <f t="shared" si="26"/>
        <v>164.7</v>
      </c>
      <c r="BN22" s="193">
        <f t="shared" si="26"/>
        <v>167.41</v>
      </c>
      <c r="BO22" s="193">
        <f t="shared" si="26"/>
        <v>169.28</v>
      </c>
      <c r="BP22" s="193">
        <f t="shared" si="26"/>
        <v>171.99</v>
      </c>
      <c r="BQ22" s="193">
        <f t="shared" si="26"/>
        <v>173.87</v>
      </c>
      <c r="BS22" s="104">
        <v>19</v>
      </c>
      <c r="BT22" s="82">
        <f t="shared" si="20"/>
        <v>247.04625779625781</v>
      </c>
      <c r="BU22" s="82">
        <f t="shared" si="20"/>
        <v>251.11044698544697</v>
      </c>
      <c r="BV22" s="82">
        <f t="shared" si="20"/>
        <v>253.92489604989606</v>
      </c>
      <c r="BW22" s="82">
        <f t="shared" si="20"/>
        <v>257.9898648648649</v>
      </c>
      <c r="BX22" s="82">
        <f t="shared" si="20"/>
        <v>260.80431392931393</v>
      </c>
      <c r="BZ22" s="104">
        <v>19</v>
      </c>
      <c r="CA22" s="82">
        <f t="shared" si="21"/>
        <v>82.348752598752597</v>
      </c>
      <c r="CB22" s="82">
        <f t="shared" si="21"/>
        <v>83.703482328482323</v>
      </c>
      <c r="CC22" s="82">
        <f t="shared" si="21"/>
        <v>84.641632016632016</v>
      </c>
      <c r="CD22" s="82">
        <f t="shared" si="21"/>
        <v>85.996621621621628</v>
      </c>
      <c r="CE22" s="82">
        <f t="shared" si="21"/>
        <v>86.934771309771307</v>
      </c>
      <c r="CJ22" s="2"/>
      <c r="CK22" s="205">
        <f t="shared" si="30"/>
        <v>288876</v>
      </c>
      <c r="CL22" s="183">
        <v>19</v>
      </c>
      <c r="CM22" s="183">
        <f t="shared" si="23"/>
        <v>198277</v>
      </c>
      <c r="CN22" s="183">
        <v>19</v>
      </c>
      <c r="CO22" s="183">
        <v>197242</v>
      </c>
      <c r="CP22" s="183"/>
      <c r="CQ22" s="183">
        <f t="shared" si="27"/>
        <v>382</v>
      </c>
      <c r="CR22" s="183">
        <f t="shared" si="28"/>
        <v>1035</v>
      </c>
      <c r="CS22" s="183">
        <f t="shared" si="31"/>
        <v>1035</v>
      </c>
    </row>
    <row r="23" spans="1:97" customFormat="1" ht="14.5" x14ac:dyDescent="0.35">
      <c r="A23">
        <v>20</v>
      </c>
      <c r="B23" s="217">
        <f t="shared" si="22"/>
        <v>26718.833333333332</v>
      </c>
      <c r="C23" s="217">
        <f t="shared" si="0"/>
        <v>27164.333333333332</v>
      </c>
      <c r="D23" s="217">
        <f t="shared" si="0"/>
        <v>27472.75</v>
      </c>
      <c r="E23" s="217">
        <f t="shared" si="0"/>
        <v>27918.416666666668</v>
      </c>
      <c r="F23" s="217">
        <f t="shared" si="0"/>
        <v>28226.666666666668</v>
      </c>
      <c r="G23" s="230"/>
      <c r="H23" s="82"/>
      <c r="I23" s="82"/>
      <c r="J23" s="82"/>
      <c r="K23" s="82"/>
      <c r="L23" s="76">
        <v>20</v>
      </c>
      <c r="M23" s="229">
        <f t="shared" si="1"/>
        <v>26800.75</v>
      </c>
      <c r="N23" s="229">
        <f t="shared" si="1"/>
        <v>27246.25</v>
      </c>
      <c r="O23" s="229">
        <f t="shared" si="1"/>
        <v>27554.666666666668</v>
      </c>
      <c r="P23" s="229">
        <f t="shared" si="1"/>
        <v>28000.333333333332</v>
      </c>
      <c r="Q23" s="229">
        <f t="shared" si="1"/>
        <v>28308.583333333332</v>
      </c>
      <c r="S23" s="80">
        <f t="shared" si="2"/>
        <v>23283979.75</v>
      </c>
      <c r="T23" s="80">
        <f t="shared" si="3"/>
        <v>16128035.5</v>
      </c>
      <c r="U23" s="80">
        <f t="shared" si="4"/>
        <v>23293434.416666668</v>
      </c>
      <c r="V23" s="80">
        <f t="shared" si="5"/>
        <v>16120088.833333334</v>
      </c>
      <c r="X23" s="104">
        <v>20</v>
      </c>
      <c r="Y23" s="169">
        <v>199969</v>
      </c>
      <c r="Z23" s="170">
        <f t="shared" si="6"/>
        <v>200622</v>
      </c>
      <c r="AA23" s="171">
        <f t="shared" si="7"/>
        <v>320626</v>
      </c>
      <c r="AB23" s="120">
        <v>4153</v>
      </c>
      <c r="AC23" s="121">
        <v>7028</v>
      </c>
      <c r="AD23" s="121">
        <v>11182</v>
      </c>
      <c r="AE23" s="122">
        <v>14056</v>
      </c>
      <c r="AF23" s="121"/>
      <c r="AG23" s="121">
        <v>3345</v>
      </c>
      <c r="AH23" s="121">
        <v>5661</v>
      </c>
      <c r="AI23" s="121">
        <v>9007</v>
      </c>
      <c r="AJ23" s="121">
        <v>11322</v>
      </c>
      <c r="AK23" s="121"/>
      <c r="AL23" s="121">
        <f t="shared" si="8"/>
        <v>5346</v>
      </c>
      <c r="AM23" s="121">
        <f t="shared" si="8"/>
        <v>9047</v>
      </c>
      <c r="AN23" s="121">
        <f t="shared" si="8"/>
        <v>14395</v>
      </c>
      <c r="AO23" s="121">
        <f t="shared" si="8"/>
        <v>18094</v>
      </c>
      <c r="AP23" s="121"/>
      <c r="AQ23" s="206">
        <f t="shared" si="9"/>
        <v>320626</v>
      </c>
      <c r="AR23" s="207">
        <f t="shared" si="10"/>
        <v>325972</v>
      </c>
      <c r="AS23" s="208">
        <f t="shared" si="10"/>
        <v>329673</v>
      </c>
      <c r="AT23" s="208">
        <f t="shared" si="10"/>
        <v>335021</v>
      </c>
      <c r="AU23" s="209">
        <f t="shared" si="10"/>
        <v>338720</v>
      </c>
      <c r="AW23" s="120">
        <v>199969</v>
      </c>
      <c r="AX23" s="208">
        <f>IF(beregningsdato&gt;=$AB$3,ROUND((AW23+$AC$3)*regulering,0),ROUND(AW23*regulering,0))</f>
        <v>120372</v>
      </c>
      <c r="AY23" s="209">
        <f>IF(beregningsdato&gt;=$AB$3,SUM($AC$3,AW23:AX23),SUM(AW23:AX23))</f>
        <v>321609</v>
      </c>
      <c r="BA23" s="81">
        <f t="shared" si="13"/>
        <v>5346</v>
      </c>
      <c r="BB23" s="81">
        <f t="shared" si="14"/>
        <v>9047</v>
      </c>
      <c r="BC23" s="81">
        <f t="shared" si="15"/>
        <v>14395</v>
      </c>
      <c r="BD23" s="81">
        <f t="shared" si="16"/>
        <v>18094</v>
      </c>
      <c r="BE23" s="76"/>
      <c r="BF23" s="81">
        <f t="shared" si="17"/>
        <v>321609</v>
      </c>
      <c r="BG23" s="81">
        <f t="shared" si="18"/>
        <v>326955</v>
      </c>
      <c r="BH23" s="81">
        <f t="shared" si="18"/>
        <v>330656</v>
      </c>
      <c r="BI23" s="81">
        <f t="shared" si="18"/>
        <v>336004</v>
      </c>
      <c r="BJ23" s="81">
        <f t="shared" si="18"/>
        <v>339703</v>
      </c>
      <c r="BL23" s="104">
        <v>20</v>
      </c>
      <c r="BM23" s="82">
        <f t="shared" si="26"/>
        <v>166.65</v>
      </c>
      <c r="BN23" s="82">
        <f t="shared" si="26"/>
        <v>169.42</v>
      </c>
      <c r="BO23" s="82">
        <f t="shared" si="26"/>
        <v>171.35</v>
      </c>
      <c r="BP23" s="82">
        <f t="shared" si="26"/>
        <v>174.13</v>
      </c>
      <c r="BQ23" s="82">
        <f t="shared" si="26"/>
        <v>176.05</v>
      </c>
      <c r="BS23" s="104">
        <v>20</v>
      </c>
      <c r="BT23" s="82">
        <f t="shared" si="20"/>
        <v>249.96829521829522</v>
      </c>
      <c r="BU23" s="82">
        <f t="shared" si="20"/>
        <v>254.13617463617464</v>
      </c>
      <c r="BV23" s="82">
        <f t="shared" si="20"/>
        <v>257.02156964656967</v>
      </c>
      <c r="BW23" s="82">
        <f t="shared" si="20"/>
        <v>261.19100831600832</v>
      </c>
      <c r="BX23" s="82">
        <f t="shared" si="20"/>
        <v>264.07484407484412</v>
      </c>
      <c r="BZ23" s="104">
        <v>20</v>
      </c>
      <c r="CA23" s="82">
        <f t="shared" si="21"/>
        <v>83.32276507276508</v>
      </c>
      <c r="CB23" s="82">
        <f t="shared" si="21"/>
        <v>84.71205821205821</v>
      </c>
      <c r="CC23" s="82">
        <f t="shared" si="21"/>
        <v>85.673856548856548</v>
      </c>
      <c r="CD23" s="82">
        <f t="shared" si="21"/>
        <v>87.063669438669436</v>
      </c>
      <c r="CE23" s="82">
        <f t="shared" si="21"/>
        <v>88.024948024948031</v>
      </c>
      <c r="CJ23" s="2"/>
      <c r="CK23" s="205">
        <f>ROUND(CM23*1.456933,0)</f>
        <v>292293</v>
      </c>
      <c r="CL23" s="183">
        <v>20</v>
      </c>
      <c r="CM23" s="183">
        <f t="shared" si="23"/>
        <v>200622</v>
      </c>
      <c r="CN23" s="183">
        <v>20</v>
      </c>
      <c r="CO23" s="183">
        <v>199969</v>
      </c>
      <c r="CP23" s="183"/>
      <c r="CQ23" s="183"/>
      <c r="CR23" s="183">
        <f>$CJ$5</f>
        <v>653</v>
      </c>
      <c r="CS23" s="183">
        <f t="shared" si="31"/>
        <v>653</v>
      </c>
    </row>
    <row r="24" spans="1:97" customFormat="1" ht="14.5" x14ac:dyDescent="0.35">
      <c r="A24">
        <v>21</v>
      </c>
      <c r="B24" s="217">
        <f t="shared" si="22"/>
        <v>27160.583333333332</v>
      </c>
      <c r="C24" s="217">
        <f t="shared" si="0"/>
        <v>27617.5</v>
      </c>
      <c r="D24" s="217">
        <f t="shared" si="0"/>
        <v>27933.833333333332</v>
      </c>
      <c r="E24" s="217">
        <f t="shared" si="0"/>
        <v>28390.75</v>
      </c>
      <c r="F24" s="217">
        <f t="shared" si="0"/>
        <v>28707.083333333332</v>
      </c>
      <c r="G24" s="175"/>
      <c r="H24" s="82"/>
      <c r="I24" s="82"/>
      <c r="J24" s="82"/>
      <c r="K24" s="82"/>
      <c r="L24" s="76">
        <v>21</v>
      </c>
      <c r="M24" s="229">
        <f t="shared" si="1"/>
        <v>27242.5</v>
      </c>
      <c r="N24" s="229">
        <f t="shared" si="1"/>
        <v>27699.416666666668</v>
      </c>
      <c r="O24" s="229">
        <f t="shared" si="1"/>
        <v>28015.75</v>
      </c>
      <c r="P24" s="229">
        <f t="shared" si="1"/>
        <v>28472.666666666668</v>
      </c>
      <c r="Q24" s="229">
        <f t="shared" si="1"/>
        <v>28789</v>
      </c>
      <c r="S24" s="80">
        <f t="shared" si="2"/>
        <v>23880424.75</v>
      </c>
      <c r="T24" s="80">
        <f t="shared" si="3"/>
        <v>16541775.666666666</v>
      </c>
      <c r="U24" s="80">
        <f t="shared" si="4"/>
        <v>23881198</v>
      </c>
      <c r="V24" s="80">
        <f t="shared" si="5"/>
        <v>16542548.916666666</v>
      </c>
      <c r="X24" s="104">
        <v>21</v>
      </c>
      <c r="Y24" s="172">
        <v>203286</v>
      </c>
      <c r="Z24" s="170">
        <f t="shared" si="6"/>
        <v>203939</v>
      </c>
      <c r="AA24" s="171">
        <f t="shared" si="7"/>
        <v>325927</v>
      </c>
      <c r="AB24" s="114">
        <v>4259</v>
      </c>
      <c r="AC24" s="115">
        <v>7208</v>
      </c>
      <c r="AD24" s="115">
        <v>11467</v>
      </c>
      <c r="AE24" s="116">
        <v>14416</v>
      </c>
      <c r="AF24" s="115"/>
      <c r="AG24" s="115">
        <v>3431</v>
      </c>
      <c r="AH24" s="115">
        <v>5806</v>
      </c>
      <c r="AI24" s="115">
        <v>9237</v>
      </c>
      <c r="AJ24" s="115">
        <v>11612</v>
      </c>
      <c r="AK24" s="115"/>
      <c r="AL24" s="115">
        <f t="shared" ref="AL24:AO25" si="32">ROUND(VLOOKUP($X24,$X:$AJ,(4+AL$2)+$AM$3)*(1+$AL$3),0)</f>
        <v>5483</v>
      </c>
      <c r="AM24" s="115">
        <f t="shared" si="32"/>
        <v>9279</v>
      </c>
      <c r="AN24" s="115">
        <f t="shared" si="32"/>
        <v>14762</v>
      </c>
      <c r="AO24" s="115">
        <f t="shared" si="32"/>
        <v>18558</v>
      </c>
      <c r="AP24" s="115"/>
      <c r="AQ24" s="210">
        <f t="shared" si="9"/>
        <v>325927</v>
      </c>
      <c r="AR24" s="211">
        <f t="shared" si="10"/>
        <v>331410</v>
      </c>
      <c r="AS24" s="212">
        <f t="shared" si="10"/>
        <v>335206</v>
      </c>
      <c r="AT24" s="212">
        <f t="shared" si="10"/>
        <v>340689</v>
      </c>
      <c r="AU24" s="213">
        <f t="shared" si="10"/>
        <v>344485</v>
      </c>
      <c r="AW24" s="114">
        <v>203286</v>
      </c>
      <c r="AX24" s="212">
        <f>IF(beregningsdato&gt;=$AB$3,ROUND((AW24+$AC$3)*regulering,0),ROUND(AW24*regulering,0))</f>
        <v>122356</v>
      </c>
      <c r="AY24" s="213">
        <f>IF(beregningsdato&gt;=$AB$3,SUM($AC$3,AW24:AX24),SUM(AW24:AX24))</f>
        <v>326910</v>
      </c>
      <c r="BA24" s="81">
        <f t="shared" si="13"/>
        <v>5483</v>
      </c>
      <c r="BB24" s="81">
        <f t="shared" si="14"/>
        <v>9279</v>
      </c>
      <c r="BC24" s="81">
        <f t="shared" si="15"/>
        <v>14762</v>
      </c>
      <c r="BD24" s="81">
        <f t="shared" si="16"/>
        <v>18558</v>
      </c>
      <c r="BE24" s="76"/>
      <c r="BF24" s="81">
        <f t="shared" si="17"/>
        <v>326910</v>
      </c>
      <c r="BG24" s="81">
        <f t="shared" si="18"/>
        <v>332393</v>
      </c>
      <c r="BH24" s="81">
        <f t="shared" si="18"/>
        <v>336189</v>
      </c>
      <c r="BI24" s="81">
        <f t="shared" si="18"/>
        <v>341672</v>
      </c>
      <c r="BJ24" s="81">
        <f t="shared" si="18"/>
        <v>345468</v>
      </c>
      <c r="BL24" s="104">
        <v>21</v>
      </c>
      <c r="BM24" s="82">
        <f t="shared" si="26"/>
        <v>169.4</v>
      </c>
      <c r="BN24" s="82">
        <f t="shared" si="26"/>
        <v>172.25</v>
      </c>
      <c r="BO24" s="82">
        <f t="shared" si="26"/>
        <v>174.22</v>
      </c>
      <c r="BP24" s="82">
        <f t="shared" si="26"/>
        <v>177.07</v>
      </c>
      <c r="BQ24" s="82">
        <f t="shared" si="26"/>
        <v>179.05</v>
      </c>
      <c r="BS24" s="104">
        <v>21</v>
      </c>
      <c r="BT24" s="82">
        <f t="shared" si="20"/>
        <v>254.10109147609148</v>
      </c>
      <c r="BU24" s="82">
        <f t="shared" si="20"/>
        <v>258.37577962577961</v>
      </c>
      <c r="BV24" s="82">
        <f t="shared" si="20"/>
        <v>261.3352390852391</v>
      </c>
      <c r="BW24" s="82">
        <f t="shared" si="20"/>
        <v>265.60992723492723</v>
      </c>
      <c r="BX24" s="82">
        <f t="shared" si="20"/>
        <v>268.56938669438671</v>
      </c>
      <c r="BZ24" s="104">
        <v>21</v>
      </c>
      <c r="CA24" s="82">
        <f t="shared" si="21"/>
        <v>84.700363825363823</v>
      </c>
      <c r="CB24" s="82">
        <f t="shared" si="21"/>
        <v>86.125259875259871</v>
      </c>
      <c r="CC24" s="82">
        <f t="shared" si="21"/>
        <v>87.111746361746356</v>
      </c>
      <c r="CD24" s="82">
        <f t="shared" si="21"/>
        <v>88.536642411642418</v>
      </c>
      <c r="CE24" s="82">
        <f t="shared" si="21"/>
        <v>89.523128898128903</v>
      </c>
      <c r="CJ24" s="2"/>
      <c r="CK24" s="2"/>
      <c r="CL24" s="183">
        <v>21</v>
      </c>
      <c r="CM24" s="183">
        <f t="shared" si="23"/>
        <v>203939</v>
      </c>
      <c r="CN24" s="183">
        <v>21</v>
      </c>
      <c r="CO24" s="183">
        <v>203286</v>
      </c>
      <c r="CP24" s="183"/>
      <c r="CQ24" s="183"/>
      <c r="CR24" s="183">
        <f>$CJ$5</f>
        <v>653</v>
      </c>
      <c r="CS24" s="183">
        <f t="shared" si="31"/>
        <v>653</v>
      </c>
    </row>
    <row r="25" spans="1:97" customFormat="1" ht="14.5" x14ac:dyDescent="0.35">
      <c r="A25">
        <v>22</v>
      </c>
      <c r="B25" s="217">
        <f t="shared" si="22"/>
        <v>27483.25</v>
      </c>
      <c r="C25" s="217">
        <f t="shared" si="0"/>
        <v>27940.166666666668</v>
      </c>
      <c r="D25" s="217">
        <f t="shared" si="0"/>
        <v>28256.5</v>
      </c>
      <c r="E25" s="217">
        <f t="shared" si="0"/>
        <v>28713.416666666668</v>
      </c>
      <c r="F25" s="217">
        <f t="shared" si="0"/>
        <v>29029.75</v>
      </c>
      <c r="G25" s="175"/>
      <c r="H25" s="82"/>
      <c r="I25" s="82"/>
      <c r="J25" s="82"/>
      <c r="K25" s="82"/>
      <c r="L25" s="76">
        <v>22</v>
      </c>
      <c r="M25" s="229">
        <f t="shared" si="1"/>
        <v>27483.25</v>
      </c>
      <c r="N25" s="229">
        <f t="shared" si="1"/>
        <v>27940.166666666668</v>
      </c>
      <c r="O25" s="229">
        <f t="shared" si="1"/>
        <v>28256.5</v>
      </c>
      <c r="P25" s="229">
        <f t="shared" si="1"/>
        <v>28713.416666666668</v>
      </c>
      <c r="Q25" s="229">
        <f t="shared" si="1"/>
        <v>29029.75</v>
      </c>
      <c r="S25" s="80">
        <f t="shared" si="2"/>
        <v>23880665.5</v>
      </c>
      <c r="T25" s="80">
        <f t="shared" si="3"/>
        <v>16542016.416666666</v>
      </c>
      <c r="U25" s="80">
        <f t="shared" si="4"/>
        <v>23881438.75</v>
      </c>
      <c r="V25" s="80">
        <f t="shared" si="5"/>
        <v>16542789.666666666</v>
      </c>
      <c r="X25" s="104">
        <v>22</v>
      </c>
      <c r="Y25" s="114">
        <v>206362</v>
      </c>
      <c r="Z25" s="115">
        <f t="shared" si="6"/>
        <v>206362</v>
      </c>
      <c r="AA25" s="116">
        <f t="shared" si="7"/>
        <v>329799</v>
      </c>
      <c r="AB25" s="114">
        <v>4259</v>
      </c>
      <c r="AC25" s="115">
        <v>7208</v>
      </c>
      <c r="AD25" s="115">
        <v>11467</v>
      </c>
      <c r="AE25" s="116">
        <v>14416</v>
      </c>
      <c r="AF25" s="115"/>
      <c r="AG25" s="115">
        <v>3431</v>
      </c>
      <c r="AH25" s="115">
        <v>5806</v>
      </c>
      <c r="AI25" s="115">
        <v>9237</v>
      </c>
      <c r="AJ25" s="115">
        <v>11612</v>
      </c>
      <c r="AK25" s="115"/>
      <c r="AL25" s="115">
        <f t="shared" si="32"/>
        <v>5483</v>
      </c>
      <c r="AM25" s="115">
        <f t="shared" ref="AM25:AO40" si="33">ROUND(VLOOKUP($X25,$X:$AJ,(4+AM$2)+$AM$3,FALSE)*(1+$AL$3),0)</f>
        <v>9279</v>
      </c>
      <c r="AN25" s="115">
        <f t="shared" si="33"/>
        <v>14762</v>
      </c>
      <c r="AO25" s="115">
        <f t="shared" si="33"/>
        <v>18558</v>
      </c>
      <c r="AP25" s="115"/>
      <c r="AQ25" s="114">
        <f t="shared" si="9"/>
        <v>329799</v>
      </c>
      <c r="AR25" s="117">
        <f t="shared" si="10"/>
        <v>335282</v>
      </c>
      <c r="AS25" s="118">
        <f t="shared" si="10"/>
        <v>339078</v>
      </c>
      <c r="AT25" s="118">
        <f t="shared" si="10"/>
        <v>344561</v>
      </c>
      <c r="AU25" s="119">
        <f t="shared" si="10"/>
        <v>348357</v>
      </c>
      <c r="AW25" s="114">
        <v>206362</v>
      </c>
      <c r="AX25" s="118">
        <f t="shared" ref="AX25:AX59" si="34">AW25*regulering</f>
        <v>123437.28755800003</v>
      </c>
      <c r="AY25" s="119">
        <f t="shared" ref="AY25:AY59" si="35">ROUND(SUM(AW25:AX25),0)</f>
        <v>329799</v>
      </c>
      <c r="BA25" s="81">
        <f t="shared" si="13"/>
        <v>5483</v>
      </c>
      <c r="BB25" s="81">
        <f t="shared" si="14"/>
        <v>9279</v>
      </c>
      <c r="BC25" s="81">
        <f t="shared" si="15"/>
        <v>14762</v>
      </c>
      <c r="BD25" s="81">
        <f t="shared" si="16"/>
        <v>18558</v>
      </c>
      <c r="BE25" s="76"/>
      <c r="BF25" s="81">
        <f t="shared" si="17"/>
        <v>329799</v>
      </c>
      <c r="BG25" s="81">
        <f t="shared" si="18"/>
        <v>335282</v>
      </c>
      <c r="BH25" s="81">
        <f t="shared" si="18"/>
        <v>339078</v>
      </c>
      <c r="BI25" s="81">
        <f t="shared" si="18"/>
        <v>344561</v>
      </c>
      <c r="BJ25" s="81">
        <f t="shared" si="18"/>
        <v>348357</v>
      </c>
      <c r="BL25" s="104">
        <v>22</v>
      </c>
      <c r="BM25" s="82">
        <f t="shared" si="26"/>
        <v>171.41</v>
      </c>
      <c r="BN25" s="82">
        <f t="shared" si="26"/>
        <v>174.26</v>
      </c>
      <c r="BO25" s="82">
        <f t="shared" si="26"/>
        <v>176.24</v>
      </c>
      <c r="BP25" s="82">
        <f t="shared" si="26"/>
        <v>179.09</v>
      </c>
      <c r="BQ25" s="82">
        <f t="shared" si="26"/>
        <v>181.06</v>
      </c>
      <c r="BS25" s="104">
        <v>22</v>
      </c>
      <c r="BT25" s="82">
        <f t="shared" si="20"/>
        <v>257.11980249480251</v>
      </c>
      <c r="BU25" s="82">
        <f t="shared" si="20"/>
        <v>261.39449064449065</v>
      </c>
      <c r="BV25" s="82">
        <f t="shared" si="20"/>
        <v>264.35395010395013</v>
      </c>
      <c r="BW25" s="82">
        <f t="shared" si="20"/>
        <v>268.62863825363826</v>
      </c>
      <c r="BX25" s="82">
        <f t="shared" si="20"/>
        <v>271.58809771309768</v>
      </c>
      <c r="BZ25" s="104">
        <v>22</v>
      </c>
      <c r="CA25" s="82">
        <f t="shared" si="21"/>
        <v>85.706600831600838</v>
      </c>
      <c r="CB25" s="82">
        <f t="shared" si="21"/>
        <v>87.131496881496886</v>
      </c>
      <c r="CC25" s="82">
        <f t="shared" si="21"/>
        <v>88.117983367983371</v>
      </c>
      <c r="CD25" s="82">
        <f t="shared" si="21"/>
        <v>89.542879417879419</v>
      </c>
      <c r="CE25" s="82">
        <f t="shared" si="21"/>
        <v>90.529365904365903</v>
      </c>
      <c r="CJ25" s="2"/>
      <c r="CK25" s="2"/>
      <c r="CL25" s="183">
        <v>22</v>
      </c>
      <c r="CM25" s="183">
        <f t="shared" si="23"/>
        <v>206362</v>
      </c>
      <c r="CN25" s="183">
        <v>22</v>
      </c>
      <c r="CO25" s="183">
        <v>206362</v>
      </c>
      <c r="CP25" s="183"/>
      <c r="CQ25" s="183"/>
      <c r="CR25" s="183"/>
      <c r="CS25" s="183">
        <f t="shared" si="31"/>
        <v>0</v>
      </c>
    </row>
    <row r="26" spans="1:97" customFormat="1" ht="14.5" x14ac:dyDescent="0.35">
      <c r="A26" s="177">
        <v>23</v>
      </c>
      <c r="B26" s="241">
        <f t="shared" si="22"/>
        <v>27921.583333333332</v>
      </c>
      <c r="C26" s="241">
        <f t="shared" si="0"/>
        <v>28366.166666666668</v>
      </c>
      <c r="D26" s="241">
        <f t="shared" si="0"/>
        <v>28673.666666666668</v>
      </c>
      <c r="E26" s="241">
        <f t="shared" si="0"/>
        <v>29118.083333333332</v>
      </c>
      <c r="F26" s="241">
        <f t="shared" si="0"/>
        <v>29425.75</v>
      </c>
      <c r="G26" s="242"/>
      <c r="H26" s="243"/>
      <c r="I26" s="243"/>
      <c r="J26" s="243"/>
      <c r="K26" s="243"/>
      <c r="L26" s="244">
        <v>23</v>
      </c>
      <c r="M26" s="245">
        <f t="shared" si="1"/>
        <v>27921.583333333332</v>
      </c>
      <c r="N26" s="245">
        <f t="shared" si="1"/>
        <v>28366.166666666668</v>
      </c>
      <c r="O26" s="245">
        <f t="shared" si="1"/>
        <v>28673.666666666668</v>
      </c>
      <c r="P26" s="245">
        <f t="shared" si="1"/>
        <v>29118.083333333332</v>
      </c>
      <c r="Q26" s="245">
        <f t="shared" si="1"/>
        <v>29425.75</v>
      </c>
      <c r="R26" s="177"/>
      <c r="S26" s="246">
        <f t="shared" si="2"/>
        <v>23237246.333333332</v>
      </c>
      <c r="T26" s="246">
        <f t="shared" si="3"/>
        <v>16081301.166666666</v>
      </c>
      <c r="U26" s="246">
        <f t="shared" si="4"/>
        <v>23229297.583333332</v>
      </c>
      <c r="V26" s="246">
        <f t="shared" si="5"/>
        <v>16090753.833333334</v>
      </c>
      <c r="W26" s="177"/>
      <c r="X26" s="247">
        <v>23</v>
      </c>
      <c r="Y26" s="120">
        <v>209653</v>
      </c>
      <c r="Z26" s="121">
        <f t="shared" si="6"/>
        <v>209653</v>
      </c>
      <c r="AA26" s="122">
        <f t="shared" si="7"/>
        <v>335059</v>
      </c>
      <c r="AB26" s="120">
        <v>4144</v>
      </c>
      <c r="AC26" s="121">
        <v>7010</v>
      </c>
      <c r="AD26" s="121">
        <v>11153</v>
      </c>
      <c r="AE26" s="122">
        <v>14021</v>
      </c>
      <c r="AF26" s="121"/>
      <c r="AG26" s="121">
        <v>3338</v>
      </c>
      <c r="AH26" s="121">
        <v>5647</v>
      </c>
      <c r="AI26" s="121">
        <v>8984</v>
      </c>
      <c r="AJ26" s="121">
        <v>11294</v>
      </c>
      <c r="AK26" s="121"/>
      <c r="AL26" s="121">
        <f>ROUND(VLOOKUP(X26,$X:$AJ,(4+AL$2)+$AM$3,FALSE)*(1+$AL$3),0)</f>
        <v>5335</v>
      </c>
      <c r="AM26" s="121">
        <f t="shared" si="33"/>
        <v>9025</v>
      </c>
      <c r="AN26" s="121">
        <f t="shared" si="33"/>
        <v>14358</v>
      </c>
      <c r="AO26" s="121">
        <f t="shared" si="33"/>
        <v>18050</v>
      </c>
      <c r="AP26" s="121"/>
      <c r="AQ26" s="120">
        <f t="shared" si="9"/>
        <v>335059</v>
      </c>
      <c r="AR26" s="123">
        <f t="shared" si="10"/>
        <v>340394</v>
      </c>
      <c r="AS26" s="124">
        <f t="shared" si="10"/>
        <v>344084</v>
      </c>
      <c r="AT26" s="124">
        <f t="shared" si="10"/>
        <v>349417</v>
      </c>
      <c r="AU26" s="125">
        <f t="shared" si="10"/>
        <v>353109</v>
      </c>
      <c r="AV26" s="177"/>
      <c r="AW26" s="120">
        <v>209653</v>
      </c>
      <c r="AX26" s="124">
        <f t="shared" si="34"/>
        <v>125405.82882700002</v>
      </c>
      <c r="AY26" s="125">
        <f t="shared" si="35"/>
        <v>335059</v>
      </c>
      <c r="AZ26" s="177"/>
      <c r="BA26" s="248">
        <f t="shared" si="13"/>
        <v>5335</v>
      </c>
      <c r="BB26" s="248">
        <f t="shared" si="14"/>
        <v>9025</v>
      </c>
      <c r="BC26" s="248">
        <f t="shared" si="15"/>
        <v>14358</v>
      </c>
      <c r="BD26" s="248">
        <f t="shared" si="16"/>
        <v>18050</v>
      </c>
      <c r="BE26" s="244"/>
      <c r="BF26" s="248">
        <f t="shared" si="17"/>
        <v>335059</v>
      </c>
      <c r="BG26" s="248">
        <f t="shared" si="18"/>
        <v>340394</v>
      </c>
      <c r="BH26" s="248">
        <f t="shared" si="18"/>
        <v>344084</v>
      </c>
      <c r="BI26" s="248">
        <f t="shared" si="18"/>
        <v>349417</v>
      </c>
      <c r="BJ26" s="248">
        <f t="shared" si="18"/>
        <v>353109</v>
      </c>
      <c r="BK26" s="177"/>
      <c r="BL26" s="247">
        <v>23</v>
      </c>
      <c r="BM26" s="243">
        <f t="shared" si="26"/>
        <v>174.15</v>
      </c>
      <c r="BN26" s="243">
        <f t="shared" si="26"/>
        <v>176.92</v>
      </c>
      <c r="BO26" s="243">
        <f t="shared" si="26"/>
        <v>178.84</v>
      </c>
      <c r="BP26" s="243">
        <f t="shared" si="26"/>
        <v>181.61</v>
      </c>
      <c r="BQ26" s="243">
        <f t="shared" si="26"/>
        <v>183.53</v>
      </c>
      <c r="BR26" s="177"/>
      <c r="BS26" s="247">
        <v>23</v>
      </c>
      <c r="BT26" s="243">
        <f t="shared" si="20"/>
        <v>261.22063409563407</v>
      </c>
      <c r="BU26" s="243">
        <f t="shared" si="20"/>
        <v>265.37993762993761</v>
      </c>
      <c r="BV26" s="243">
        <f t="shared" si="20"/>
        <v>268.25675675675677</v>
      </c>
      <c r="BW26" s="243">
        <f t="shared" si="20"/>
        <v>272.41450103950103</v>
      </c>
      <c r="BX26" s="243">
        <f t="shared" si="20"/>
        <v>275.29287941787942</v>
      </c>
      <c r="BY26" s="177"/>
      <c r="BZ26" s="247">
        <v>23</v>
      </c>
      <c r="CA26" s="243">
        <f t="shared" si="21"/>
        <v>87.073544698544694</v>
      </c>
      <c r="CB26" s="243">
        <f t="shared" si="21"/>
        <v>88.45997920997921</v>
      </c>
      <c r="CC26" s="243">
        <f t="shared" si="21"/>
        <v>89.418918918918919</v>
      </c>
      <c r="CD26" s="243">
        <f t="shared" si="21"/>
        <v>90.804833679833678</v>
      </c>
      <c r="CE26" s="243">
        <f t="shared" si="21"/>
        <v>91.764293139293144</v>
      </c>
      <c r="CF26" s="177"/>
      <c r="CG26" s="177"/>
      <c r="CH26" s="177"/>
      <c r="CI26" s="177"/>
      <c r="CJ26" s="249"/>
      <c r="CK26" s="249"/>
      <c r="CL26" s="240">
        <v>23</v>
      </c>
      <c r="CM26" s="240">
        <f t="shared" si="23"/>
        <v>209653</v>
      </c>
      <c r="CN26" s="240">
        <v>23</v>
      </c>
      <c r="CO26" s="240">
        <v>209653</v>
      </c>
      <c r="CP26" s="240"/>
      <c r="CQ26" s="183"/>
      <c r="CR26" s="183"/>
      <c r="CS26" s="183"/>
    </row>
    <row r="27" spans="1:97" s="250" customFormat="1" ht="14.5" x14ac:dyDescent="0.35">
      <c r="A27" s="250">
        <v>24</v>
      </c>
      <c r="B27" s="251">
        <f t="shared" si="22"/>
        <v>28373.833333333332</v>
      </c>
      <c r="C27" s="251">
        <f t="shared" si="0"/>
        <v>28805.583333333332</v>
      </c>
      <c r="D27" s="251">
        <f t="shared" si="0"/>
        <v>29104.583333333332</v>
      </c>
      <c r="E27" s="251">
        <f t="shared" si="0"/>
        <v>29536.333333333332</v>
      </c>
      <c r="F27" s="251">
        <f t="shared" si="0"/>
        <v>29835.25</v>
      </c>
      <c r="G27" s="252"/>
      <c r="H27" s="252"/>
      <c r="I27" s="252"/>
      <c r="J27" s="252"/>
      <c r="K27" s="252"/>
      <c r="L27" s="253">
        <v>24</v>
      </c>
      <c r="M27" s="254">
        <f t="shared" si="1"/>
        <v>28373.833333333332</v>
      </c>
      <c r="N27" s="254">
        <f t="shared" si="1"/>
        <v>28805.583333333332</v>
      </c>
      <c r="O27" s="254">
        <f t="shared" si="1"/>
        <v>29104.583333333332</v>
      </c>
      <c r="P27" s="254">
        <f t="shared" si="1"/>
        <v>29536.333333333332</v>
      </c>
      <c r="Q27" s="254">
        <f t="shared" si="1"/>
        <v>29835.25</v>
      </c>
      <c r="S27" s="255">
        <f t="shared" si="2"/>
        <v>22567738.666666668</v>
      </c>
      <c r="T27" s="255">
        <f t="shared" si="3"/>
        <v>15638000.916666666</v>
      </c>
      <c r="U27" s="255">
        <f t="shared" si="4"/>
        <v>22568469.416666668</v>
      </c>
      <c r="V27" s="255">
        <f t="shared" si="5"/>
        <v>15634381.25</v>
      </c>
      <c r="X27" s="256">
        <v>24</v>
      </c>
      <c r="Y27" s="257">
        <v>213049</v>
      </c>
      <c r="Z27" s="258">
        <f t="shared" si="6"/>
        <v>213049</v>
      </c>
      <c r="AA27" s="259">
        <f t="shared" si="7"/>
        <v>340486</v>
      </c>
      <c r="AB27" s="257">
        <v>4025</v>
      </c>
      <c r="AC27" s="258">
        <v>6812</v>
      </c>
      <c r="AD27" s="258">
        <v>10837</v>
      </c>
      <c r="AE27" s="259">
        <v>13623</v>
      </c>
      <c r="AF27" s="258"/>
      <c r="AG27" s="258">
        <v>3242</v>
      </c>
      <c r="AH27" s="258">
        <v>5487</v>
      </c>
      <c r="AI27" s="258">
        <v>8729</v>
      </c>
      <c r="AJ27" s="258">
        <v>10973</v>
      </c>
      <c r="AK27" s="258"/>
      <c r="AL27" s="121">
        <f>ROUND(VLOOKUP($X27,$X:$AJ,(4+AL$2)+$AM$3,FALSE)*(1+$AL$3),0)</f>
        <v>5181</v>
      </c>
      <c r="AM27" s="258">
        <f t="shared" si="33"/>
        <v>8769</v>
      </c>
      <c r="AN27" s="258">
        <f t="shared" si="33"/>
        <v>13950</v>
      </c>
      <c r="AO27" s="258">
        <f t="shared" si="33"/>
        <v>17537</v>
      </c>
      <c r="AP27" s="258"/>
      <c r="AQ27" s="257">
        <f t="shared" si="9"/>
        <v>340486</v>
      </c>
      <c r="AR27" s="260">
        <f t="shared" si="10"/>
        <v>345667</v>
      </c>
      <c r="AS27" s="261">
        <f t="shared" si="10"/>
        <v>349255</v>
      </c>
      <c r="AT27" s="261">
        <f t="shared" si="10"/>
        <v>354436</v>
      </c>
      <c r="AU27" s="262">
        <f t="shared" si="10"/>
        <v>358023</v>
      </c>
      <c r="AW27" s="257">
        <v>213049</v>
      </c>
      <c r="AX27" s="261">
        <f t="shared" si="34"/>
        <v>127437.17679100002</v>
      </c>
      <c r="AY27" s="262">
        <f t="shared" si="35"/>
        <v>340486</v>
      </c>
      <c r="BA27" s="263">
        <f>ROUND(AL27*udbygningspct,0)</f>
        <v>5181</v>
      </c>
      <c r="BB27" s="263">
        <f t="shared" si="14"/>
        <v>8769</v>
      </c>
      <c r="BC27" s="263">
        <f t="shared" si="15"/>
        <v>13950</v>
      </c>
      <c r="BD27" s="263">
        <f t="shared" si="16"/>
        <v>17537</v>
      </c>
      <c r="BE27" s="253"/>
      <c r="BF27" s="263">
        <f t="shared" si="17"/>
        <v>340486</v>
      </c>
      <c r="BG27" s="263">
        <f t="shared" si="18"/>
        <v>345667</v>
      </c>
      <c r="BH27" s="263">
        <f t="shared" si="18"/>
        <v>349255</v>
      </c>
      <c r="BI27" s="263">
        <f t="shared" si="18"/>
        <v>354436</v>
      </c>
      <c r="BJ27" s="263">
        <f t="shared" si="18"/>
        <v>358023</v>
      </c>
      <c r="BL27" s="256">
        <v>24</v>
      </c>
      <c r="BM27" s="252">
        <f t="shared" si="26"/>
        <v>176.97</v>
      </c>
      <c r="BN27" s="252">
        <f t="shared" si="26"/>
        <v>179.66</v>
      </c>
      <c r="BO27" s="252">
        <f t="shared" si="26"/>
        <v>181.53</v>
      </c>
      <c r="BP27" s="252">
        <f t="shared" si="26"/>
        <v>184.22</v>
      </c>
      <c r="BQ27" s="252">
        <f t="shared" si="26"/>
        <v>186.08</v>
      </c>
      <c r="BS27" s="256">
        <v>24</v>
      </c>
      <c r="BT27" s="252">
        <f t="shared" si="20"/>
        <v>265.45166320166322</v>
      </c>
      <c r="BU27" s="252">
        <f t="shared" si="20"/>
        <v>269.49090436590438</v>
      </c>
      <c r="BV27" s="252">
        <f t="shared" si="20"/>
        <v>272.28820166320168</v>
      </c>
      <c r="BW27" s="252">
        <f t="shared" si="20"/>
        <v>276.32744282744284</v>
      </c>
      <c r="BX27" s="252">
        <f t="shared" si="20"/>
        <v>279.12396049896051</v>
      </c>
      <c r="BZ27" s="256">
        <v>24</v>
      </c>
      <c r="CA27" s="252">
        <f t="shared" si="21"/>
        <v>88.483887733887741</v>
      </c>
      <c r="CB27" s="252">
        <f t="shared" si="21"/>
        <v>89.830301455301452</v>
      </c>
      <c r="CC27" s="252">
        <f t="shared" si="21"/>
        <v>90.762733887733887</v>
      </c>
      <c r="CD27" s="252">
        <f t="shared" si="21"/>
        <v>92.109147609147612</v>
      </c>
      <c r="CE27" s="252">
        <f t="shared" si="21"/>
        <v>93.041320166320162</v>
      </c>
      <c r="CJ27" s="264"/>
      <c r="CK27" s="264"/>
      <c r="CL27" s="265">
        <v>24</v>
      </c>
      <c r="CM27" s="265">
        <f t="shared" si="23"/>
        <v>213049</v>
      </c>
      <c r="CN27" s="265">
        <v>24</v>
      </c>
      <c r="CO27" s="265">
        <v>213049</v>
      </c>
      <c r="CP27" s="265"/>
      <c r="CQ27" s="265"/>
      <c r="CR27" s="265"/>
      <c r="CS27" s="265"/>
    </row>
    <row r="28" spans="1:97" s="250" customFormat="1" ht="14.5" x14ac:dyDescent="0.35">
      <c r="A28" s="250">
        <v>25</v>
      </c>
      <c r="B28" s="251">
        <f t="shared" si="22"/>
        <v>28835.583333333332</v>
      </c>
      <c r="C28" s="251">
        <f t="shared" si="0"/>
        <v>29253.916666666668</v>
      </c>
      <c r="D28" s="251">
        <f t="shared" si="0"/>
        <v>29543.416666666668</v>
      </c>
      <c r="E28" s="251">
        <f t="shared" si="0"/>
        <v>29961.916666666668</v>
      </c>
      <c r="F28" s="251">
        <f t="shared" si="0"/>
        <v>30251.416666666668</v>
      </c>
      <c r="G28" s="252"/>
      <c r="H28" s="252"/>
      <c r="I28" s="252"/>
      <c r="J28" s="252"/>
      <c r="K28" s="252"/>
      <c r="L28" s="253">
        <v>25</v>
      </c>
      <c r="M28" s="254">
        <f t="shared" si="1"/>
        <v>28835.583333333332</v>
      </c>
      <c r="N28" s="254">
        <f t="shared" si="1"/>
        <v>29253.916666666668</v>
      </c>
      <c r="O28" s="254">
        <f t="shared" si="1"/>
        <v>29543.416666666668</v>
      </c>
      <c r="P28" s="254">
        <f t="shared" si="1"/>
        <v>29961.916666666668</v>
      </c>
      <c r="Q28" s="254">
        <f t="shared" si="1"/>
        <v>30251.416666666668</v>
      </c>
      <c r="S28" s="255">
        <f t="shared" si="2"/>
        <v>21867787.833333332</v>
      </c>
      <c r="T28" s="255">
        <f t="shared" si="3"/>
        <v>15142504.916666666</v>
      </c>
      <c r="U28" s="255">
        <f t="shared" si="4"/>
        <v>21877196.416666668</v>
      </c>
      <c r="V28" s="255">
        <f t="shared" si="5"/>
        <v>15143212.916666666</v>
      </c>
      <c r="X28" s="256">
        <v>25</v>
      </c>
      <c r="Y28" s="266">
        <v>216516</v>
      </c>
      <c r="Z28" s="267">
        <f t="shared" si="6"/>
        <v>216516</v>
      </c>
      <c r="AA28" s="268">
        <f t="shared" si="7"/>
        <v>346027</v>
      </c>
      <c r="AB28" s="266">
        <v>3899</v>
      </c>
      <c r="AC28" s="267">
        <v>6598</v>
      </c>
      <c r="AD28" s="267">
        <v>10499</v>
      </c>
      <c r="AE28" s="268">
        <v>13198</v>
      </c>
      <c r="AF28" s="267"/>
      <c r="AG28" s="267">
        <v>3141</v>
      </c>
      <c r="AH28" s="267">
        <v>5315</v>
      </c>
      <c r="AI28" s="267">
        <v>8457</v>
      </c>
      <c r="AJ28" s="267">
        <v>10631</v>
      </c>
      <c r="AK28" s="267"/>
      <c r="AL28" s="121">
        <f t="shared" ref="AL28:AO44" si="36">ROUND(VLOOKUP($X28,$X:$AJ,(4+AL$2)+$AM$3,FALSE)*(1+$AL$3),0)</f>
        <v>5020</v>
      </c>
      <c r="AM28" s="121">
        <f t="shared" si="33"/>
        <v>8494</v>
      </c>
      <c r="AN28" s="121">
        <f t="shared" si="33"/>
        <v>13516</v>
      </c>
      <c r="AO28" s="121">
        <f t="shared" si="33"/>
        <v>16990</v>
      </c>
      <c r="AP28" s="267"/>
      <c r="AQ28" s="266">
        <f t="shared" si="9"/>
        <v>346027</v>
      </c>
      <c r="AR28" s="269">
        <f t="shared" si="10"/>
        <v>351047</v>
      </c>
      <c r="AS28" s="270">
        <f t="shared" si="10"/>
        <v>354521</v>
      </c>
      <c r="AT28" s="270">
        <f t="shared" si="10"/>
        <v>359543</v>
      </c>
      <c r="AU28" s="271">
        <f t="shared" si="10"/>
        <v>363017</v>
      </c>
      <c r="AW28" s="266">
        <v>216516</v>
      </c>
      <c r="AX28" s="270">
        <f t="shared" si="34"/>
        <v>129510.99404400002</v>
      </c>
      <c r="AY28" s="271">
        <f t="shared" si="35"/>
        <v>346027</v>
      </c>
      <c r="BA28" s="263">
        <f t="shared" si="13"/>
        <v>5020</v>
      </c>
      <c r="BB28" s="263">
        <f t="shared" si="14"/>
        <v>8494</v>
      </c>
      <c r="BC28" s="263">
        <f t="shared" si="15"/>
        <v>13516</v>
      </c>
      <c r="BD28" s="263">
        <f t="shared" si="16"/>
        <v>16990</v>
      </c>
      <c r="BE28" s="253"/>
      <c r="BF28" s="263">
        <f t="shared" si="17"/>
        <v>346027</v>
      </c>
      <c r="BG28" s="263">
        <f t="shared" si="18"/>
        <v>351047</v>
      </c>
      <c r="BH28" s="263">
        <f t="shared" si="18"/>
        <v>354521</v>
      </c>
      <c r="BI28" s="263">
        <f t="shared" si="18"/>
        <v>359543</v>
      </c>
      <c r="BJ28" s="263">
        <f t="shared" si="18"/>
        <v>363017</v>
      </c>
      <c r="BL28" s="256">
        <v>25</v>
      </c>
      <c r="BM28" s="252">
        <f t="shared" si="26"/>
        <v>179.85</v>
      </c>
      <c r="BN28" s="252">
        <f t="shared" si="26"/>
        <v>182.46</v>
      </c>
      <c r="BO28" s="252">
        <f t="shared" si="26"/>
        <v>184.26</v>
      </c>
      <c r="BP28" s="252">
        <f t="shared" si="26"/>
        <v>186.87</v>
      </c>
      <c r="BQ28" s="252">
        <f t="shared" si="26"/>
        <v>188.68</v>
      </c>
      <c r="BS28" s="256">
        <v>25</v>
      </c>
      <c r="BT28" s="252">
        <f t="shared" si="20"/>
        <v>269.77156964656967</v>
      </c>
      <c r="BU28" s="252">
        <f t="shared" si="20"/>
        <v>273.68529106029109</v>
      </c>
      <c r="BV28" s="252">
        <f t="shared" si="20"/>
        <v>276.39371101871097</v>
      </c>
      <c r="BW28" s="252">
        <f t="shared" si="20"/>
        <v>280.30899168399168</v>
      </c>
      <c r="BX28" s="252">
        <f t="shared" si="20"/>
        <v>283.01741164241162</v>
      </c>
      <c r="BZ28" s="256">
        <v>25</v>
      </c>
      <c r="CA28" s="252">
        <f t="shared" si="21"/>
        <v>89.923856548856548</v>
      </c>
      <c r="CB28" s="252">
        <f t="shared" si="21"/>
        <v>91.228430353430355</v>
      </c>
      <c r="CC28" s="252">
        <f t="shared" si="21"/>
        <v>92.131237006237001</v>
      </c>
      <c r="CD28" s="252">
        <f t="shared" si="21"/>
        <v>93.436330561330564</v>
      </c>
      <c r="CE28" s="252">
        <f t="shared" si="21"/>
        <v>94.33913721413721</v>
      </c>
      <c r="CJ28" s="264"/>
      <c r="CK28" s="264"/>
      <c r="CL28" s="265">
        <v>25</v>
      </c>
      <c r="CM28" s="265">
        <f t="shared" si="23"/>
        <v>216516</v>
      </c>
      <c r="CN28" s="265">
        <v>25</v>
      </c>
      <c r="CO28" s="265">
        <v>216516</v>
      </c>
      <c r="CP28" s="265"/>
      <c r="CQ28" s="265"/>
      <c r="CR28" s="265"/>
      <c r="CS28" s="265"/>
    </row>
    <row r="29" spans="1:97" customFormat="1" ht="14.5" x14ac:dyDescent="0.35">
      <c r="A29">
        <v>26</v>
      </c>
      <c r="B29" s="217">
        <f t="shared" si="22"/>
        <v>29308</v>
      </c>
      <c r="C29" s="217">
        <f t="shared" si="0"/>
        <v>29712.083333333332</v>
      </c>
      <c r="D29" s="217">
        <f t="shared" si="0"/>
        <v>29991.583333333332</v>
      </c>
      <c r="E29" s="217">
        <f t="shared" si="0"/>
        <v>30395.416666666668</v>
      </c>
      <c r="F29" s="217">
        <f t="shared" si="0"/>
        <v>30675.083333333332</v>
      </c>
      <c r="G29" s="82"/>
      <c r="H29" s="82"/>
      <c r="I29" s="82"/>
      <c r="J29" s="82"/>
      <c r="K29" s="82"/>
      <c r="L29" s="76">
        <v>26</v>
      </c>
      <c r="M29" s="229">
        <f t="shared" si="1"/>
        <v>29308</v>
      </c>
      <c r="N29" s="229">
        <f t="shared" si="1"/>
        <v>29712.083333333332</v>
      </c>
      <c r="O29" s="229">
        <f t="shared" si="1"/>
        <v>29991.583333333332</v>
      </c>
      <c r="P29" s="229">
        <f t="shared" si="1"/>
        <v>30395.416666666668</v>
      </c>
      <c r="Q29" s="229">
        <f t="shared" si="1"/>
        <v>30675.083333333332</v>
      </c>
      <c r="S29" s="80">
        <f t="shared" si="2"/>
        <v>21124343.75</v>
      </c>
      <c r="T29" s="80">
        <f t="shared" si="3"/>
        <v>14620916.416666666</v>
      </c>
      <c r="U29" s="80">
        <f t="shared" si="4"/>
        <v>21111976.166666668</v>
      </c>
      <c r="V29" s="80">
        <f t="shared" si="5"/>
        <v>14630300.5</v>
      </c>
      <c r="X29" s="104">
        <v>26</v>
      </c>
      <c r="Y29" s="114">
        <v>220063</v>
      </c>
      <c r="Z29" s="115">
        <f t="shared" si="6"/>
        <v>220063</v>
      </c>
      <c r="AA29" s="116">
        <f t="shared" si="7"/>
        <v>351696</v>
      </c>
      <c r="AB29" s="114">
        <v>3766</v>
      </c>
      <c r="AC29" s="115">
        <v>6372</v>
      </c>
      <c r="AD29" s="115">
        <v>10137</v>
      </c>
      <c r="AE29" s="116">
        <v>12743</v>
      </c>
      <c r="AF29" s="115"/>
      <c r="AG29" s="115">
        <v>3034</v>
      </c>
      <c r="AH29" s="115">
        <v>5133</v>
      </c>
      <c r="AI29" s="115">
        <v>8165</v>
      </c>
      <c r="AJ29" s="115">
        <v>10265</v>
      </c>
      <c r="AK29" s="115"/>
      <c r="AL29" s="115">
        <f t="shared" si="36"/>
        <v>4849</v>
      </c>
      <c r="AM29" s="115">
        <f t="shared" si="33"/>
        <v>8203</v>
      </c>
      <c r="AN29" s="115">
        <f t="shared" si="33"/>
        <v>13049</v>
      </c>
      <c r="AO29" s="115">
        <f t="shared" si="33"/>
        <v>16405</v>
      </c>
      <c r="AP29" s="115"/>
      <c r="AQ29" s="114">
        <f t="shared" si="9"/>
        <v>351696</v>
      </c>
      <c r="AR29" s="117">
        <f t="shared" si="10"/>
        <v>356545</v>
      </c>
      <c r="AS29" s="118">
        <f t="shared" si="10"/>
        <v>359899</v>
      </c>
      <c r="AT29" s="118">
        <f t="shared" si="10"/>
        <v>364745</v>
      </c>
      <c r="AU29" s="119">
        <f t="shared" si="10"/>
        <v>368101</v>
      </c>
      <c r="AW29" s="114">
        <v>220063</v>
      </c>
      <c r="AX29" s="118">
        <f t="shared" si="34"/>
        <v>131632.66401700003</v>
      </c>
      <c r="AY29" s="119">
        <f t="shared" si="35"/>
        <v>351696</v>
      </c>
      <c r="BA29" s="81">
        <f t="shared" si="13"/>
        <v>4849</v>
      </c>
      <c r="BB29" s="81">
        <f t="shared" si="14"/>
        <v>8203</v>
      </c>
      <c r="BC29" s="81">
        <f t="shared" si="15"/>
        <v>13049</v>
      </c>
      <c r="BD29" s="81">
        <f t="shared" si="16"/>
        <v>16405</v>
      </c>
      <c r="BE29" s="76"/>
      <c r="BF29" s="81">
        <f t="shared" si="17"/>
        <v>351696</v>
      </c>
      <c r="BG29" s="81">
        <f t="shared" si="18"/>
        <v>356545</v>
      </c>
      <c r="BH29" s="81">
        <f t="shared" si="18"/>
        <v>359899</v>
      </c>
      <c r="BI29" s="81">
        <f t="shared" si="18"/>
        <v>364745</v>
      </c>
      <c r="BJ29" s="81">
        <f t="shared" si="18"/>
        <v>368101</v>
      </c>
      <c r="BL29" s="104">
        <v>26</v>
      </c>
      <c r="BM29" s="82">
        <f t="shared" si="26"/>
        <v>182.79</v>
      </c>
      <c r="BN29" s="82">
        <f t="shared" si="26"/>
        <v>185.31</v>
      </c>
      <c r="BO29" s="82">
        <f t="shared" si="26"/>
        <v>187.06</v>
      </c>
      <c r="BP29" s="82">
        <f t="shared" si="26"/>
        <v>189.58</v>
      </c>
      <c r="BQ29" s="82">
        <f t="shared" si="26"/>
        <v>191.32</v>
      </c>
      <c r="BS29" s="104">
        <v>26</v>
      </c>
      <c r="BT29" s="82">
        <f t="shared" si="20"/>
        <v>274.19126819126819</v>
      </c>
      <c r="BU29" s="82">
        <f t="shared" si="20"/>
        <v>277.97167359667361</v>
      </c>
      <c r="BV29" s="82">
        <f t="shared" si="20"/>
        <v>280.58653846153845</v>
      </c>
      <c r="BW29" s="82">
        <f t="shared" si="20"/>
        <v>284.36460498960497</v>
      </c>
      <c r="BX29" s="82">
        <f t="shared" si="20"/>
        <v>286.9810291060291</v>
      </c>
      <c r="BZ29" s="104">
        <v>26</v>
      </c>
      <c r="CA29" s="82">
        <f t="shared" si="21"/>
        <v>91.397089397089402</v>
      </c>
      <c r="CB29" s="82">
        <f t="shared" si="21"/>
        <v>92.657224532224532</v>
      </c>
      <c r="CC29" s="82">
        <f t="shared" si="21"/>
        <v>93.52884615384616</v>
      </c>
      <c r="CD29" s="82">
        <f t="shared" si="21"/>
        <v>94.788201663201662</v>
      </c>
      <c r="CE29" s="82">
        <f t="shared" si="21"/>
        <v>95.660343035343033</v>
      </c>
      <c r="CJ29" s="2"/>
      <c r="CK29" s="2"/>
      <c r="CL29" s="183">
        <v>26</v>
      </c>
      <c r="CM29" s="183">
        <f t="shared" si="23"/>
        <v>220063</v>
      </c>
      <c r="CN29" s="183">
        <v>26</v>
      </c>
      <c r="CO29" s="183">
        <v>220063</v>
      </c>
      <c r="CP29" s="183"/>
      <c r="CQ29" s="183"/>
      <c r="CR29" s="183"/>
      <c r="CS29" s="183"/>
    </row>
    <row r="30" spans="1:97" customFormat="1" ht="14.5" x14ac:dyDescent="0.35">
      <c r="A30">
        <v>27</v>
      </c>
      <c r="B30" s="217">
        <f t="shared" si="22"/>
        <v>29791.166666666668</v>
      </c>
      <c r="C30" s="217">
        <f t="shared" si="0"/>
        <v>30179.666666666668</v>
      </c>
      <c r="D30" s="217">
        <f t="shared" si="0"/>
        <v>30448.416666666668</v>
      </c>
      <c r="E30" s="217">
        <f t="shared" si="0"/>
        <v>30836.916666666668</v>
      </c>
      <c r="F30" s="217">
        <f t="shared" si="0"/>
        <v>31105.75</v>
      </c>
      <c r="G30" s="175"/>
      <c r="H30" s="82"/>
      <c r="I30" s="82"/>
      <c r="J30" s="82"/>
      <c r="K30" s="82"/>
      <c r="L30" s="76">
        <v>27</v>
      </c>
      <c r="M30" s="229">
        <f t="shared" si="1"/>
        <v>29791.166666666668</v>
      </c>
      <c r="N30" s="229">
        <f t="shared" si="1"/>
        <v>30179.666666666668</v>
      </c>
      <c r="O30" s="229">
        <f t="shared" si="1"/>
        <v>30448.416666666668</v>
      </c>
      <c r="P30" s="229">
        <f t="shared" si="1"/>
        <v>30836.916666666668</v>
      </c>
      <c r="Q30" s="229">
        <f t="shared" si="1"/>
        <v>31105.75</v>
      </c>
      <c r="S30" s="80">
        <f t="shared" si="2"/>
        <v>20311304.166666668</v>
      </c>
      <c r="T30" s="80">
        <f t="shared" si="3"/>
        <v>14060183.833333334</v>
      </c>
      <c r="U30" s="80">
        <f t="shared" si="4"/>
        <v>20311961.416666668</v>
      </c>
      <c r="V30" s="80">
        <f t="shared" si="5"/>
        <v>14065191.5</v>
      </c>
      <c r="X30" s="104">
        <v>27</v>
      </c>
      <c r="Y30" s="114">
        <v>223691</v>
      </c>
      <c r="Z30" s="115">
        <f t="shared" si="6"/>
        <v>223691</v>
      </c>
      <c r="AA30" s="116">
        <f t="shared" si="7"/>
        <v>357494</v>
      </c>
      <c r="AB30" s="114">
        <v>3621</v>
      </c>
      <c r="AC30" s="115">
        <v>6127</v>
      </c>
      <c r="AD30" s="115">
        <v>9748</v>
      </c>
      <c r="AE30" s="116">
        <v>12254</v>
      </c>
      <c r="AF30" s="115"/>
      <c r="AG30" s="115">
        <v>2917</v>
      </c>
      <c r="AH30" s="115">
        <v>4935</v>
      </c>
      <c r="AI30" s="115">
        <v>7852</v>
      </c>
      <c r="AJ30" s="115">
        <v>9871</v>
      </c>
      <c r="AK30" s="115"/>
      <c r="AL30" s="115">
        <f t="shared" si="36"/>
        <v>4662</v>
      </c>
      <c r="AM30" s="115">
        <f t="shared" si="33"/>
        <v>7887</v>
      </c>
      <c r="AN30" s="115">
        <f t="shared" si="33"/>
        <v>12549</v>
      </c>
      <c r="AO30" s="115">
        <f t="shared" si="33"/>
        <v>15775</v>
      </c>
      <c r="AP30" s="115"/>
      <c r="AQ30" s="114">
        <f t="shared" si="9"/>
        <v>357494</v>
      </c>
      <c r="AR30" s="117">
        <f t="shared" si="10"/>
        <v>362156</v>
      </c>
      <c r="AS30" s="118">
        <f t="shared" si="10"/>
        <v>365381</v>
      </c>
      <c r="AT30" s="118">
        <f t="shared" si="10"/>
        <v>370043</v>
      </c>
      <c r="AU30" s="119">
        <f t="shared" si="10"/>
        <v>373269</v>
      </c>
      <c r="AW30" s="114">
        <v>223691</v>
      </c>
      <c r="AX30" s="118">
        <f t="shared" si="34"/>
        <v>133802.78486900002</v>
      </c>
      <c r="AY30" s="119">
        <f t="shared" si="35"/>
        <v>357494</v>
      </c>
      <c r="BA30" s="81">
        <f t="shared" si="13"/>
        <v>4662</v>
      </c>
      <c r="BB30" s="81">
        <f t="shared" si="14"/>
        <v>7887</v>
      </c>
      <c r="BC30" s="81">
        <f t="shared" si="15"/>
        <v>12549</v>
      </c>
      <c r="BD30" s="81">
        <f t="shared" si="16"/>
        <v>15775</v>
      </c>
      <c r="BE30" s="76"/>
      <c r="BF30" s="81">
        <f t="shared" si="17"/>
        <v>357494</v>
      </c>
      <c r="BG30" s="81">
        <f t="shared" si="18"/>
        <v>362156</v>
      </c>
      <c r="BH30" s="81">
        <f t="shared" si="18"/>
        <v>365381</v>
      </c>
      <c r="BI30" s="81">
        <f t="shared" si="18"/>
        <v>370043</v>
      </c>
      <c r="BJ30" s="81">
        <f t="shared" si="18"/>
        <v>373269</v>
      </c>
      <c r="BL30" s="104">
        <v>27</v>
      </c>
      <c r="BM30" s="82">
        <f t="shared" si="26"/>
        <v>185.81</v>
      </c>
      <c r="BN30" s="82">
        <f t="shared" si="26"/>
        <v>188.23</v>
      </c>
      <c r="BO30" s="82">
        <f t="shared" si="26"/>
        <v>189.91</v>
      </c>
      <c r="BP30" s="82">
        <f t="shared" si="26"/>
        <v>192.33</v>
      </c>
      <c r="BQ30" s="82">
        <f t="shared" si="26"/>
        <v>194.01</v>
      </c>
      <c r="BS30" s="104">
        <v>27</v>
      </c>
      <c r="BT30" s="82">
        <f t="shared" si="20"/>
        <v>278.71153846153845</v>
      </c>
      <c r="BU30" s="82">
        <f t="shared" si="20"/>
        <v>282.34615384615381</v>
      </c>
      <c r="BV30" s="82">
        <f t="shared" si="20"/>
        <v>284.86044698544697</v>
      </c>
      <c r="BW30" s="82">
        <f t="shared" si="20"/>
        <v>288.49506237006239</v>
      </c>
      <c r="BX30" s="82">
        <f t="shared" si="20"/>
        <v>291.0101351351351</v>
      </c>
      <c r="BZ30" s="104">
        <v>27</v>
      </c>
      <c r="CA30" s="82">
        <f t="shared" si="21"/>
        <v>92.90384615384616</v>
      </c>
      <c r="CB30" s="82">
        <f t="shared" si="21"/>
        <v>94.115384615384613</v>
      </c>
      <c r="CC30" s="82">
        <f t="shared" si="21"/>
        <v>94.953482328482323</v>
      </c>
      <c r="CD30" s="82">
        <f t="shared" si="21"/>
        <v>96.16502079002079</v>
      </c>
      <c r="CE30" s="82">
        <f t="shared" si="21"/>
        <v>97.003378378378372</v>
      </c>
      <c r="CJ30" s="2"/>
      <c r="CK30" s="2"/>
      <c r="CL30" s="183">
        <v>27</v>
      </c>
      <c r="CM30" s="183">
        <f t="shared" si="23"/>
        <v>223691</v>
      </c>
      <c r="CN30" s="183">
        <v>27</v>
      </c>
      <c r="CO30" s="183">
        <v>223691</v>
      </c>
      <c r="CP30" s="183"/>
      <c r="CQ30" s="183"/>
      <c r="CR30" s="183"/>
      <c r="CS30" s="183"/>
    </row>
    <row r="31" spans="1:97" customFormat="1" ht="14.5" x14ac:dyDescent="0.35">
      <c r="A31">
        <v>28</v>
      </c>
      <c r="B31" s="217">
        <f t="shared" si="22"/>
        <v>30285</v>
      </c>
      <c r="C31" s="217">
        <f t="shared" si="0"/>
        <v>30657</v>
      </c>
      <c r="D31" s="217">
        <f t="shared" si="0"/>
        <v>30914.416666666668</v>
      </c>
      <c r="E31" s="217">
        <f t="shared" si="0"/>
        <v>31286.416666666668</v>
      </c>
      <c r="F31" s="217">
        <f t="shared" si="0"/>
        <v>31543.666666666668</v>
      </c>
      <c r="G31" s="175"/>
      <c r="H31" s="82"/>
      <c r="I31" s="82"/>
      <c r="J31" s="82"/>
      <c r="K31" s="82"/>
      <c r="L31" s="76">
        <v>28</v>
      </c>
      <c r="M31" s="229">
        <f t="shared" si="1"/>
        <v>30285</v>
      </c>
      <c r="N31" s="229">
        <f t="shared" si="1"/>
        <v>30657</v>
      </c>
      <c r="O31" s="229">
        <f t="shared" si="1"/>
        <v>30914.416666666668</v>
      </c>
      <c r="P31" s="229">
        <f t="shared" si="1"/>
        <v>31286.416666666668</v>
      </c>
      <c r="Q31" s="229">
        <f t="shared" si="1"/>
        <v>31543.666666666668</v>
      </c>
      <c r="S31" s="80">
        <f t="shared" si="2"/>
        <v>19450421</v>
      </c>
      <c r="T31" s="80">
        <f t="shared" si="3"/>
        <v>13469008.25</v>
      </c>
      <c r="U31" s="80">
        <f t="shared" si="4"/>
        <v>19451050.416666668</v>
      </c>
      <c r="V31" s="80">
        <f t="shared" si="5"/>
        <v>13460936.916666666</v>
      </c>
      <c r="X31" s="104">
        <v>28</v>
      </c>
      <c r="Y31" s="114">
        <v>227399</v>
      </c>
      <c r="Z31" s="115">
        <f t="shared" si="6"/>
        <v>227399</v>
      </c>
      <c r="AA31" s="116">
        <f t="shared" si="7"/>
        <v>363420</v>
      </c>
      <c r="AB31" s="114">
        <v>3467</v>
      </c>
      <c r="AC31" s="115">
        <v>5867</v>
      </c>
      <c r="AD31" s="115">
        <v>9334</v>
      </c>
      <c r="AE31" s="116">
        <v>11733</v>
      </c>
      <c r="AF31" s="115"/>
      <c r="AG31" s="115">
        <v>2793</v>
      </c>
      <c r="AH31" s="115">
        <v>4726</v>
      </c>
      <c r="AI31" s="115">
        <v>7519</v>
      </c>
      <c r="AJ31" s="115">
        <v>9451</v>
      </c>
      <c r="AK31" s="115"/>
      <c r="AL31" s="115">
        <f t="shared" si="36"/>
        <v>4464</v>
      </c>
      <c r="AM31" s="115">
        <f t="shared" si="33"/>
        <v>7553</v>
      </c>
      <c r="AN31" s="115">
        <f t="shared" si="33"/>
        <v>12017</v>
      </c>
      <c r="AO31" s="115">
        <f t="shared" si="33"/>
        <v>15104</v>
      </c>
      <c r="AP31" s="115"/>
      <c r="AQ31" s="114">
        <f t="shared" si="9"/>
        <v>363420</v>
      </c>
      <c r="AR31" s="117">
        <f t="shared" si="10"/>
        <v>367884</v>
      </c>
      <c r="AS31" s="118">
        <f t="shared" si="10"/>
        <v>370973</v>
      </c>
      <c r="AT31" s="118">
        <f t="shared" si="10"/>
        <v>375437</v>
      </c>
      <c r="AU31" s="119">
        <f t="shared" si="10"/>
        <v>378524</v>
      </c>
      <c r="AW31" s="114">
        <v>227399</v>
      </c>
      <c r="AX31" s="118">
        <f t="shared" si="34"/>
        <v>136020.75844100001</v>
      </c>
      <c r="AY31" s="119">
        <f t="shared" si="35"/>
        <v>363420</v>
      </c>
      <c r="BA31" s="81">
        <f t="shared" si="13"/>
        <v>4464</v>
      </c>
      <c r="BB31" s="81">
        <f t="shared" si="14"/>
        <v>7553</v>
      </c>
      <c r="BC31" s="81">
        <f t="shared" si="15"/>
        <v>12017</v>
      </c>
      <c r="BD31" s="81">
        <f t="shared" si="16"/>
        <v>15104</v>
      </c>
      <c r="BE31" s="76"/>
      <c r="BF31" s="81">
        <f t="shared" si="17"/>
        <v>363420</v>
      </c>
      <c r="BG31" s="81">
        <f t="shared" si="18"/>
        <v>367884</v>
      </c>
      <c r="BH31" s="81">
        <f t="shared" si="18"/>
        <v>370973</v>
      </c>
      <c r="BI31" s="81">
        <f t="shared" si="18"/>
        <v>375437</v>
      </c>
      <c r="BJ31" s="81">
        <f t="shared" si="18"/>
        <v>378524</v>
      </c>
      <c r="BL31" s="104">
        <v>28</v>
      </c>
      <c r="BM31" s="82">
        <f t="shared" si="26"/>
        <v>188.89</v>
      </c>
      <c r="BN31" s="82">
        <f t="shared" si="26"/>
        <v>191.21</v>
      </c>
      <c r="BO31" s="82">
        <f t="shared" si="26"/>
        <v>192.81</v>
      </c>
      <c r="BP31" s="82">
        <f t="shared" si="26"/>
        <v>195.13</v>
      </c>
      <c r="BQ31" s="82">
        <f t="shared" si="26"/>
        <v>196.74</v>
      </c>
      <c r="BS31" s="104">
        <v>28</v>
      </c>
      <c r="BT31" s="82">
        <f t="shared" si="20"/>
        <v>283.33160083160084</v>
      </c>
      <c r="BU31" s="82">
        <f t="shared" si="20"/>
        <v>286.81185031185032</v>
      </c>
      <c r="BV31" s="82">
        <f t="shared" si="20"/>
        <v>289.22011434511433</v>
      </c>
      <c r="BW31" s="82">
        <f t="shared" si="20"/>
        <v>292.70036382536381</v>
      </c>
      <c r="BX31" s="82">
        <f t="shared" si="20"/>
        <v>295.10706860706864</v>
      </c>
      <c r="BZ31" s="104">
        <v>28</v>
      </c>
      <c r="CA31" s="82">
        <f t="shared" si="21"/>
        <v>94.443866943866951</v>
      </c>
      <c r="CB31" s="82">
        <f t="shared" si="21"/>
        <v>95.603950103950098</v>
      </c>
      <c r="CC31" s="82">
        <f t="shared" si="21"/>
        <v>96.406704781704775</v>
      </c>
      <c r="CD31" s="82">
        <f t="shared" si="21"/>
        <v>97.566787941787936</v>
      </c>
      <c r="CE31" s="82">
        <f t="shared" si="21"/>
        <v>98.369022869022871</v>
      </c>
      <c r="CJ31" s="2"/>
      <c r="CK31" s="2"/>
      <c r="CL31" s="183">
        <v>28</v>
      </c>
      <c r="CM31" s="183">
        <f t="shared" si="23"/>
        <v>227399</v>
      </c>
      <c r="CN31" s="183">
        <v>28</v>
      </c>
      <c r="CO31" s="183">
        <v>227399</v>
      </c>
      <c r="CP31" s="183"/>
      <c r="CQ31" s="183"/>
      <c r="CR31" s="183"/>
      <c r="CS31" s="183"/>
    </row>
    <row r="32" spans="1:97" customFormat="1" ht="14.5" x14ac:dyDescent="0.35">
      <c r="A32">
        <v>29</v>
      </c>
      <c r="B32" s="217">
        <f t="shared" si="22"/>
        <v>30790</v>
      </c>
      <c r="C32" s="217">
        <f t="shared" si="0"/>
        <v>31144.416666666668</v>
      </c>
      <c r="D32" s="217">
        <f t="shared" si="0"/>
        <v>31389.583333333332</v>
      </c>
      <c r="E32" s="217">
        <f t="shared" si="0"/>
        <v>31743.833333333332</v>
      </c>
      <c r="F32" s="217">
        <f t="shared" si="0"/>
        <v>31989.166666666668</v>
      </c>
      <c r="G32" s="175"/>
      <c r="H32" s="82"/>
      <c r="I32" s="82"/>
      <c r="J32" s="82"/>
      <c r="K32" s="82"/>
      <c r="L32" s="76">
        <v>29</v>
      </c>
      <c r="M32" s="229">
        <f t="shared" si="1"/>
        <v>30790</v>
      </c>
      <c r="N32" s="229">
        <f t="shared" si="1"/>
        <v>31144.416666666668</v>
      </c>
      <c r="O32" s="229">
        <f t="shared" si="1"/>
        <v>31389.583333333332</v>
      </c>
      <c r="P32" s="229">
        <f t="shared" si="1"/>
        <v>31743.833333333332</v>
      </c>
      <c r="Q32" s="229">
        <f t="shared" si="1"/>
        <v>31989.166666666668</v>
      </c>
      <c r="S32" s="80">
        <f t="shared" si="2"/>
        <v>18532993.916666668</v>
      </c>
      <c r="T32" s="80">
        <f t="shared" si="3"/>
        <v>12829988.5</v>
      </c>
      <c r="U32" s="80">
        <f t="shared" si="4"/>
        <v>18524892.75</v>
      </c>
      <c r="V32" s="80">
        <f t="shared" si="5"/>
        <v>12839288.75</v>
      </c>
      <c r="X32" s="104">
        <v>29</v>
      </c>
      <c r="Y32" s="114">
        <v>231191</v>
      </c>
      <c r="Z32" s="115">
        <f t="shared" si="6"/>
        <v>231191</v>
      </c>
      <c r="AA32" s="116">
        <f t="shared" si="7"/>
        <v>369480</v>
      </c>
      <c r="AB32" s="114">
        <v>3303</v>
      </c>
      <c r="AC32" s="115">
        <v>5589</v>
      </c>
      <c r="AD32" s="115">
        <v>8891</v>
      </c>
      <c r="AE32" s="116">
        <v>11178</v>
      </c>
      <c r="AF32" s="115"/>
      <c r="AG32" s="115">
        <v>2661</v>
      </c>
      <c r="AH32" s="115">
        <v>4502</v>
      </c>
      <c r="AI32" s="115">
        <v>7162</v>
      </c>
      <c r="AJ32" s="115">
        <v>9004</v>
      </c>
      <c r="AK32" s="115"/>
      <c r="AL32" s="115">
        <f t="shared" si="36"/>
        <v>4253</v>
      </c>
      <c r="AM32" s="115">
        <f t="shared" si="33"/>
        <v>7195</v>
      </c>
      <c r="AN32" s="115">
        <f t="shared" si="33"/>
        <v>11446</v>
      </c>
      <c r="AO32" s="115">
        <f t="shared" si="33"/>
        <v>14390</v>
      </c>
      <c r="AP32" s="115"/>
      <c r="AQ32" s="114">
        <f t="shared" si="9"/>
        <v>369480</v>
      </c>
      <c r="AR32" s="117">
        <f t="shared" si="10"/>
        <v>373733</v>
      </c>
      <c r="AS32" s="118">
        <f t="shared" si="10"/>
        <v>376675</v>
      </c>
      <c r="AT32" s="118">
        <f t="shared" si="10"/>
        <v>380926</v>
      </c>
      <c r="AU32" s="119">
        <f t="shared" si="10"/>
        <v>383870</v>
      </c>
      <c r="AW32" s="114">
        <v>231191</v>
      </c>
      <c r="AX32" s="118">
        <f t="shared" si="34"/>
        <v>138288.97736900003</v>
      </c>
      <c r="AY32" s="119">
        <f t="shared" si="35"/>
        <v>369480</v>
      </c>
      <c r="BA32" s="81">
        <f t="shared" si="13"/>
        <v>4253</v>
      </c>
      <c r="BB32" s="81">
        <f t="shared" si="14"/>
        <v>7195</v>
      </c>
      <c r="BC32" s="81">
        <f t="shared" si="15"/>
        <v>11446</v>
      </c>
      <c r="BD32" s="81">
        <f t="shared" si="16"/>
        <v>14390</v>
      </c>
      <c r="BE32" s="76"/>
      <c r="BF32" s="81">
        <f t="shared" si="17"/>
        <v>369480</v>
      </c>
      <c r="BG32" s="81">
        <f t="shared" si="18"/>
        <v>373733</v>
      </c>
      <c r="BH32" s="81">
        <f t="shared" si="18"/>
        <v>376675</v>
      </c>
      <c r="BI32" s="81">
        <f t="shared" si="18"/>
        <v>380926</v>
      </c>
      <c r="BJ32" s="81">
        <f t="shared" si="18"/>
        <v>383870</v>
      </c>
      <c r="BL32" s="104">
        <v>29</v>
      </c>
      <c r="BM32" s="82">
        <f t="shared" si="26"/>
        <v>192.04</v>
      </c>
      <c r="BN32" s="82">
        <f t="shared" si="26"/>
        <v>194.25</v>
      </c>
      <c r="BO32" s="82">
        <f t="shared" si="26"/>
        <v>195.78</v>
      </c>
      <c r="BP32" s="82">
        <f t="shared" si="26"/>
        <v>197.99</v>
      </c>
      <c r="BQ32" s="82">
        <f t="shared" si="26"/>
        <v>199.52</v>
      </c>
      <c r="BS32" s="104">
        <v>29</v>
      </c>
      <c r="BT32" s="82">
        <f t="shared" si="20"/>
        <v>288.05613305613304</v>
      </c>
      <c r="BU32" s="82">
        <f t="shared" si="20"/>
        <v>291.37188149688149</v>
      </c>
      <c r="BV32" s="82">
        <f t="shared" si="20"/>
        <v>293.66554054054052</v>
      </c>
      <c r="BW32" s="82">
        <f t="shared" si="20"/>
        <v>296.97972972972974</v>
      </c>
      <c r="BX32" s="82">
        <f t="shared" si="20"/>
        <v>299.27494802494806</v>
      </c>
      <c r="BZ32" s="104">
        <v>29</v>
      </c>
      <c r="CA32" s="82">
        <f t="shared" si="21"/>
        <v>96.018711018711016</v>
      </c>
      <c r="CB32" s="82">
        <f t="shared" si="21"/>
        <v>97.1239604989605</v>
      </c>
      <c r="CC32" s="82">
        <f t="shared" si="21"/>
        <v>97.888513513513516</v>
      </c>
      <c r="CD32" s="82">
        <f t="shared" si="21"/>
        <v>98.993243243243242</v>
      </c>
      <c r="CE32" s="82">
        <f t="shared" si="21"/>
        <v>99.758316008316015</v>
      </c>
      <c r="CJ32" s="2"/>
      <c r="CK32" s="2"/>
      <c r="CL32" s="183">
        <v>29</v>
      </c>
      <c r="CM32" s="183">
        <f t="shared" si="23"/>
        <v>231191</v>
      </c>
      <c r="CN32" s="183">
        <v>29</v>
      </c>
      <c r="CO32" s="183">
        <v>231191</v>
      </c>
      <c r="CP32" s="183"/>
      <c r="CQ32" s="183"/>
      <c r="CR32" s="183"/>
      <c r="CS32" s="183"/>
    </row>
    <row r="33" spans="1:97" customFormat="1" ht="14.5" x14ac:dyDescent="0.35">
      <c r="A33">
        <v>30</v>
      </c>
      <c r="B33" s="217">
        <f t="shared" si="22"/>
        <v>31305.916666666668</v>
      </c>
      <c r="C33" s="217">
        <f t="shared" si="0"/>
        <v>31641.416666666668</v>
      </c>
      <c r="D33" s="217">
        <f t="shared" si="0"/>
        <v>31873.833333333332</v>
      </c>
      <c r="E33" s="217">
        <f t="shared" si="0"/>
        <v>32209.166666666668</v>
      </c>
      <c r="F33" s="217">
        <f t="shared" si="0"/>
        <v>32441.416666666668</v>
      </c>
      <c r="G33" s="175"/>
      <c r="H33" s="82"/>
      <c r="I33" s="82"/>
      <c r="J33" s="82"/>
      <c r="K33" s="82"/>
      <c r="L33" s="76">
        <v>30</v>
      </c>
      <c r="M33" s="229">
        <f t="shared" si="1"/>
        <v>31305.916666666668</v>
      </c>
      <c r="N33" s="229">
        <f t="shared" si="1"/>
        <v>31641.416666666668</v>
      </c>
      <c r="O33" s="229">
        <f t="shared" si="1"/>
        <v>31873.833333333332</v>
      </c>
      <c r="P33" s="229">
        <f t="shared" si="1"/>
        <v>32209.166666666668</v>
      </c>
      <c r="Q33" s="229">
        <f t="shared" si="1"/>
        <v>32441.416666666668</v>
      </c>
      <c r="S33" s="80">
        <f t="shared" si="2"/>
        <v>17545971.583333332</v>
      </c>
      <c r="T33" s="80">
        <f t="shared" si="3"/>
        <v>12164876</v>
      </c>
      <c r="U33" s="80">
        <f t="shared" si="4"/>
        <v>17537838.75</v>
      </c>
      <c r="V33" s="80">
        <f t="shared" si="5"/>
        <v>12156743</v>
      </c>
      <c r="X33" s="104">
        <v>30</v>
      </c>
      <c r="Y33" s="120">
        <v>235065</v>
      </c>
      <c r="Z33" s="121">
        <f t="shared" si="6"/>
        <v>235065</v>
      </c>
      <c r="AA33" s="122">
        <f t="shared" si="7"/>
        <v>375671</v>
      </c>
      <c r="AB33" s="120">
        <v>3127</v>
      </c>
      <c r="AC33" s="121">
        <v>5293</v>
      </c>
      <c r="AD33" s="121">
        <v>8420</v>
      </c>
      <c r="AE33" s="122">
        <v>10585</v>
      </c>
      <c r="AF33" s="121"/>
      <c r="AG33" s="121">
        <v>2519</v>
      </c>
      <c r="AH33" s="121">
        <v>4264</v>
      </c>
      <c r="AI33" s="121">
        <v>6782</v>
      </c>
      <c r="AJ33" s="121">
        <v>8526</v>
      </c>
      <c r="AK33" s="121"/>
      <c r="AL33" s="121">
        <f t="shared" si="36"/>
        <v>4026</v>
      </c>
      <c r="AM33" s="121">
        <f t="shared" si="33"/>
        <v>6815</v>
      </c>
      <c r="AN33" s="121">
        <f t="shared" si="33"/>
        <v>10839</v>
      </c>
      <c r="AO33" s="121">
        <f t="shared" si="33"/>
        <v>13626</v>
      </c>
      <c r="AP33" s="121"/>
      <c r="AQ33" s="120">
        <f t="shared" si="9"/>
        <v>375671</v>
      </c>
      <c r="AR33" s="123">
        <f t="shared" si="10"/>
        <v>379697</v>
      </c>
      <c r="AS33" s="124">
        <f t="shared" si="10"/>
        <v>382486</v>
      </c>
      <c r="AT33" s="124">
        <f t="shared" si="10"/>
        <v>386510</v>
      </c>
      <c r="AU33" s="125">
        <f t="shared" si="10"/>
        <v>389297</v>
      </c>
      <c r="AW33" s="120">
        <v>235065</v>
      </c>
      <c r="AX33" s="124">
        <f t="shared" si="34"/>
        <v>140606.24533500001</v>
      </c>
      <c r="AY33" s="125">
        <f t="shared" si="35"/>
        <v>375671</v>
      </c>
      <c r="BA33" s="81">
        <f t="shared" si="13"/>
        <v>4026</v>
      </c>
      <c r="BB33" s="81">
        <f t="shared" si="14"/>
        <v>6815</v>
      </c>
      <c r="BC33" s="81">
        <f t="shared" si="15"/>
        <v>10839</v>
      </c>
      <c r="BD33" s="81">
        <f t="shared" si="16"/>
        <v>13626</v>
      </c>
      <c r="BE33" s="76"/>
      <c r="BF33" s="81">
        <f t="shared" si="17"/>
        <v>375671</v>
      </c>
      <c r="BG33" s="81">
        <f t="shared" si="18"/>
        <v>379697</v>
      </c>
      <c r="BH33" s="81">
        <f t="shared" si="18"/>
        <v>382486</v>
      </c>
      <c r="BI33" s="81">
        <f t="shared" si="18"/>
        <v>386510</v>
      </c>
      <c r="BJ33" s="81">
        <f t="shared" si="18"/>
        <v>389297</v>
      </c>
      <c r="BL33" s="104">
        <v>30</v>
      </c>
      <c r="BM33" s="82">
        <f t="shared" si="26"/>
        <v>195.26</v>
      </c>
      <c r="BN33" s="82">
        <f t="shared" si="26"/>
        <v>197.35</v>
      </c>
      <c r="BO33" s="82">
        <f t="shared" si="26"/>
        <v>198.8</v>
      </c>
      <c r="BP33" s="82">
        <f t="shared" si="26"/>
        <v>200.89</v>
      </c>
      <c r="BQ33" s="82">
        <f t="shared" si="26"/>
        <v>202.34</v>
      </c>
      <c r="BS33" s="104">
        <v>30</v>
      </c>
      <c r="BT33" s="82">
        <f t="shared" si="20"/>
        <v>292.88279625779626</v>
      </c>
      <c r="BU33" s="82">
        <f t="shared" si="20"/>
        <v>296.02156964656967</v>
      </c>
      <c r="BV33" s="82">
        <f t="shared" si="20"/>
        <v>298.19594594594594</v>
      </c>
      <c r="BW33" s="82">
        <f t="shared" si="20"/>
        <v>301.33316008316007</v>
      </c>
      <c r="BX33" s="82">
        <f t="shared" si="20"/>
        <v>303.50597713097716</v>
      </c>
      <c r="BZ33" s="104">
        <v>30</v>
      </c>
      <c r="CA33" s="82">
        <f t="shared" si="21"/>
        <v>97.627598752598757</v>
      </c>
      <c r="CB33" s="82">
        <f t="shared" si="21"/>
        <v>98.673856548856548</v>
      </c>
      <c r="CC33" s="82">
        <f t="shared" si="21"/>
        <v>99.398648648648646</v>
      </c>
      <c r="CD33" s="82">
        <f t="shared" si="21"/>
        <v>100.44438669438669</v>
      </c>
      <c r="CE33" s="82">
        <f t="shared" si="21"/>
        <v>101.16865904365905</v>
      </c>
      <c r="CJ33" s="2"/>
      <c r="CK33" s="2"/>
      <c r="CL33" s="183">
        <v>30</v>
      </c>
      <c r="CM33" s="183">
        <f t="shared" si="23"/>
        <v>235065</v>
      </c>
      <c r="CN33" s="183">
        <v>30</v>
      </c>
      <c r="CO33" s="183">
        <v>235065</v>
      </c>
      <c r="CP33" s="183"/>
      <c r="CQ33" s="183"/>
      <c r="CR33" s="183"/>
      <c r="CS33" s="183"/>
    </row>
    <row r="34" spans="1:97" customFormat="1" ht="14.5" x14ac:dyDescent="0.35">
      <c r="A34">
        <v>31</v>
      </c>
      <c r="B34" s="217">
        <f t="shared" si="22"/>
        <v>31833.583333333332</v>
      </c>
      <c r="C34" s="217">
        <f t="shared" si="0"/>
        <v>32149.25</v>
      </c>
      <c r="D34" s="217">
        <f t="shared" si="0"/>
        <v>32367.666666666668</v>
      </c>
      <c r="E34" s="217">
        <f t="shared" si="0"/>
        <v>32683.25</v>
      </c>
      <c r="F34" s="217">
        <f t="shared" si="0"/>
        <v>32901.666666666664</v>
      </c>
      <c r="G34" s="175"/>
      <c r="H34" s="82"/>
      <c r="I34" s="82"/>
      <c r="J34" s="82"/>
      <c r="K34" s="82"/>
      <c r="L34" s="76">
        <v>31</v>
      </c>
      <c r="M34" s="229">
        <f t="shared" si="1"/>
        <v>31833.583333333332</v>
      </c>
      <c r="N34" s="229">
        <f t="shared" si="1"/>
        <v>32149.25</v>
      </c>
      <c r="O34" s="229">
        <f t="shared" si="1"/>
        <v>32367.666666666668</v>
      </c>
      <c r="P34" s="229">
        <f t="shared" si="1"/>
        <v>32683.25</v>
      </c>
      <c r="Q34" s="229">
        <f t="shared" si="1"/>
        <v>32901.666666666664</v>
      </c>
      <c r="S34" s="80">
        <f t="shared" si="2"/>
        <v>16511106.666666666</v>
      </c>
      <c r="T34" s="80">
        <f t="shared" si="3"/>
        <v>11434518.5</v>
      </c>
      <c r="U34" s="80">
        <f t="shared" si="4"/>
        <v>16507290.416666666</v>
      </c>
      <c r="V34" s="80">
        <f t="shared" si="5"/>
        <v>11435052.5</v>
      </c>
      <c r="X34" s="104">
        <v>31</v>
      </c>
      <c r="Y34" s="114">
        <v>239027</v>
      </c>
      <c r="Z34" s="115">
        <f t="shared" si="6"/>
        <v>239027</v>
      </c>
      <c r="AA34" s="116">
        <f t="shared" si="7"/>
        <v>382003</v>
      </c>
      <c r="AB34" s="114">
        <v>2942</v>
      </c>
      <c r="AC34" s="115">
        <v>4978</v>
      </c>
      <c r="AD34" s="115">
        <v>7920</v>
      </c>
      <c r="AE34" s="116">
        <v>9956</v>
      </c>
      <c r="AF34" s="115"/>
      <c r="AG34" s="115">
        <v>2370</v>
      </c>
      <c r="AH34" s="115">
        <v>4010</v>
      </c>
      <c r="AI34" s="115">
        <v>6380</v>
      </c>
      <c r="AJ34" s="115">
        <v>8020</v>
      </c>
      <c r="AK34" s="115"/>
      <c r="AL34" s="115">
        <f t="shared" si="36"/>
        <v>3788</v>
      </c>
      <c r="AM34" s="115">
        <f t="shared" si="33"/>
        <v>6409</v>
      </c>
      <c r="AN34" s="115">
        <f t="shared" si="33"/>
        <v>10196</v>
      </c>
      <c r="AO34" s="115">
        <f t="shared" si="33"/>
        <v>12817</v>
      </c>
      <c r="AP34" s="115"/>
      <c r="AQ34" s="114">
        <f t="shared" si="9"/>
        <v>382003</v>
      </c>
      <c r="AR34" s="117">
        <f t="shared" si="10"/>
        <v>385791</v>
      </c>
      <c r="AS34" s="118">
        <f t="shared" si="10"/>
        <v>388412</v>
      </c>
      <c r="AT34" s="118">
        <f t="shared" si="10"/>
        <v>392199</v>
      </c>
      <c r="AU34" s="119">
        <f t="shared" si="10"/>
        <v>394820</v>
      </c>
      <c r="AW34" s="114">
        <v>239027</v>
      </c>
      <c r="AX34" s="118">
        <f t="shared" si="34"/>
        <v>142976.15129300003</v>
      </c>
      <c r="AY34" s="119">
        <f t="shared" si="35"/>
        <v>382003</v>
      </c>
      <c r="BA34" s="81">
        <f t="shared" si="13"/>
        <v>3788</v>
      </c>
      <c r="BB34" s="81">
        <f t="shared" si="14"/>
        <v>6409</v>
      </c>
      <c r="BC34" s="81">
        <f t="shared" si="15"/>
        <v>10196</v>
      </c>
      <c r="BD34" s="81">
        <f t="shared" si="16"/>
        <v>12817</v>
      </c>
      <c r="BE34" s="76"/>
      <c r="BF34" s="81">
        <f t="shared" si="17"/>
        <v>382003</v>
      </c>
      <c r="BG34" s="81">
        <f t="shared" si="18"/>
        <v>385791</v>
      </c>
      <c r="BH34" s="81">
        <f t="shared" si="18"/>
        <v>388412</v>
      </c>
      <c r="BI34" s="81">
        <f t="shared" si="18"/>
        <v>392199</v>
      </c>
      <c r="BJ34" s="81">
        <f t="shared" si="18"/>
        <v>394820</v>
      </c>
      <c r="BL34" s="104">
        <v>31</v>
      </c>
      <c r="BM34" s="82">
        <f t="shared" si="26"/>
        <v>198.55</v>
      </c>
      <c r="BN34" s="82">
        <f t="shared" si="26"/>
        <v>200.52</v>
      </c>
      <c r="BO34" s="82">
        <f t="shared" si="26"/>
        <v>201.88</v>
      </c>
      <c r="BP34" s="82">
        <f t="shared" si="26"/>
        <v>203.85</v>
      </c>
      <c r="BQ34" s="82">
        <f t="shared" si="26"/>
        <v>205.21</v>
      </c>
      <c r="BS34" s="104">
        <v>31</v>
      </c>
      <c r="BT34" s="82">
        <f t="shared" si="20"/>
        <v>297.81938669438671</v>
      </c>
      <c r="BU34" s="82">
        <f t="shared" si="20"/>
        <v>300.77260914760916</v>
      </c>
      <c r="BV34" s="82">
        <f t="shared" si="20"/>
        <v>302.81600831600832</v>
      </c>
      <c r="BW34" s="82">
        <f t="shared" si="20"/>
        <v>305.76845114345116</v>
      </c>
      <c r="BX34" s="82">
        <f t="shared" si="20"/>
        <v>307.81185031185032</v>
      </c>
      <c r="BZ34" s="104">
        <v>31</v>
      </c>
      <c r="CA34" s="82">
        <f t="shared" si="21"/>
        <v>99.273128898128903</v>
      </c>
      <c r="CB34" s="82">
        <f t="shared" si="21"/>
        <v>100.25753638253639</v>
      </c>
      <c r="CC34" s="82">
        <f t="shared" si="21"/>
        <v>100.93866943866944</v>
      </c>
      <c r="CD34" s="82">
        <f t="shared" si="21"/>
        <v>101.92281704781705</v>
      </c>
      <c r="CE34" s="82">
        <f t="shared" si="21"/>
        <v>102.6039501039501</v>
      </c>
      <c r="CJ34" s="2"/>
      <c r="CK34" s="2"/>
      <c r="CL34" s="183">
        <v>31</v>
      </c>
      <c r="CM34" s="183">
        <f t="shared" si="23"/>
        <v>239027</v>
      </c>
      <c r="CN34" s="183">
        <v>31</v>
      </c>
      <c r="CO34" s="183">
        <v>239027</v>
      </c>
      <c r="CP34" s="183"/>
      <c r="CQ34" s="183"/>
      <c r="CR34" s="183"/>
      <c r="CS34" s="183"/>
    </row>
    <row r="35" spans="1:97" customFormat="1" ht="14.5" x14ac:dyDescent="0.35">
      <c r="A35">
        <v>32</v>
      </c>
      <c r="B35" s="217">
        <f t="shared" si="22"/>
        <v>32373</v>
      </c>
      <c r="C35" s="217">
        <f t="shared" si="0"/>
        <v>32667.333333333332</v>
      </c>
      <c r="D35" s="217">
        <f t="shared" si="0"/>
        <v>32871</v>
      </c>
      <c r="E35" s="217">
        <f t="shared" si="0"/>
        <v>33165.416666666664</v>
      </c>
      <c r="F35" s="217">
        <f t="shared" si="0"/>
        <v>33369.166666666664</v>
      </c>
      <c r="G35" s="175"/>
      <c r="H35" s="82"/>
      <c r="I35" s="82"/>
      <c r="J35" s="82"/>
      <c r="K35" s="82"/>
      <c r="L35" s="76">
        <v>32</v>
      </c>
      <c r="M35" s="229">
        <f t="shared" si="1"/>
        <v>32373</v>
      </c>
      <c r="N35" s="229">
        <f t="shared" si="1"/>
        <v>32667.333333333332</v>
      </c>
      <c r="O35" s="229">
        <f t="shared" si="1"/>
        <v>32871</v>
      </c>
      <c r="P35" s="229">
        <f t="shared" si="1"/>
        <v>33165.416666666664</v>
      </c>
      <c r="Q35" s="229">
        <f t="shared" si="1"/>
        <v>33369.166666666664</v>
      </c>
      <c r="S35" s="80">
        <f t="shared" si="2"/>
        <v>15397946.583333334</v>
      </c>
      <c r="T35" s="80">
        <f t="shared" si="3"/>
        <v>10665017.75</v>
      </c>
      <c r="U35" s="80">
        <f t="shared" si="4"/>
        <v>15402794.916666666</v>
      </c>
      <c r="V35" s="80">
        <f t="shared" si="5"/>
        <v>10669866.25</v>
      </c>
      <c r="X35" s="104">
        <v>32</v>
      </c>
      <c r="Y35" s="114">
        <v>243077</v>
      </c>
      <c r="Z35" s="115">
        <f t="shared" si="6"/>
        <v>243077</v>
      </c>
      <c r="AA35" s="116">
        <f t="shared" si="7"/>
        <v>388476</v>
      </c>
      <c r="AB35" s="114">
        <v>2743</v>
      </c>
      <c r="AC35" s="115">
        <v>4642</v>
      </c>
      <c r="AD35" s="115">
        <v>7387</v>
      </c>
      <c r="AE35" s="116">
        <v>9286</v>
      </c>
      <c r="AF35" s="115"/>
      <c r="AG35" s="115">
        <v>2210</v>
      </c>
      <c r="AH35" s="115">
        <v>3739</v>
      </c>
      <c r="AI35" s="115">
        <v>5950</v>
      </c>
      <c r="AJ35" s="115">
        <v>7480</v>
      </c>
      <c r="AK35" s="115"/>
      <c r="AL35" s="115">
        <f t="shared" si="36"/>
        <v>3532</v>
      </c>
      <c r="AM35" s="115">
        <f t="shared" si="33"/>
        <v>5976</v>
      </c>
      <c r="AN35" s="115">
        <f t="shared" si="33"/>
        <v>9509</v>
      </c>
      <c r="AO35" s="115">
        <f t="shared" si="33"/>
        <v>11954</v>
      </c>
      <c r="AP35" s="115"/>
      <c r="AQ35" s="114">
        <f t="shared" si="9"/>
        <v>388476</v>
      </c>
      <c r="AR35" s="117">
        <f t="shared" si="10"/>
        <v>392008</v>
      </c>
      <c r="AS35" s="118">
        <f t="shared" si="10"/>
        <v>394452</v>
      </c>
      <c r="AT35" s="118">
        <f t="shared" si="10"/>
        <v>397985</v>
      </c>
      <c r="AU35" s="119">
        <f t="shared" si="10"/>
        <v>400430</v>
      </c>
      <c r="AW35" s="114">
        <v>243077</v>
      </c>
      <c r="AX35" s="118">
        <f t="shared" si="34"/>
        <v>145398.69524300002</v>
      </c>
      <c r="AY35" s="119">
        <f t="shared" si="35"/>
        <v>388476</v>
      </c>
      <c r="BA35" s="81">
        <f t="shared" si="13"/>
        <v>3532</v>
      </c>
      <c r="BB35" s="81">
        <f t="shared" si="14"/>
        <v>5976</v>
      </c>
      <c r="BC35" s="81">
        <f t="shared" si="15"/>
        <v>9509</v>
      </c>
      <c r="BD35" s="81">
        <f t="shared" si="16"/>
        <v>11954</v>
      </c>
      <c r="BE35" s="76"/>
      <c r="BF35" s="81">
        <f t="shared" si="17"/>
        <v>388476</v>
      </c>
      <c r="BG35" s="81">
        <f t="shared" si="18"/>
        <v>392008</v>
      </c>
      <c r="BH35" s="81">
        <f t="shared" si="18"/>
        <v>394452</v>
      </c>
      <c r="BI35" s="81">
        <f t="shared" si="18"/>
        <v>397985</v>
      </c>
      <c r="BJ35" s="81">
        <f t="shared" si="18"/>
        <v>400430</v>
      </c>
      <c r="BL35" s="104">
        <v>32</v>
      </c>
      <c r="BM35" s="82">
        <f t="shared" si="26"/>
        <v>201.91</v>
      </c>
      <c r="BN35" s="82">
        <f t="shared" si="26"/>
        <v>203.75</v>
      </c>
      <c r="BO35" s="82">
        <f t="shared" si="26"/>
        <v>205.02</v>
      </c>
      <c r="BP35" s="82">
        <f t="shared" si="26"/>
        <v>206.85</v>
      </c>
      <c r="BQ35" s="82">
        <f t="shared" si="26"/>
        <v>208.12</v>
      </c>
      <c r="BS35" s="104">
        <v>32</v>
      </c>
      <c r="BT35" s="82">
        <f t="shared" si="20"/>
        <v>302.86590436590438</v>
      </c>
      <c r="BU35" s="82">
        <f t="shared" si="20"/>
        <v>305.61954261954259</v>
      </c>
      <c r="BV35" s="82">
        <f t="shared" si="20"/>
        <v>307.52494802494806</v>
      </c>
      <c r="BW35" s="82">
        <f t="shared" si="20"/>
        <v>310.27936590436593</v>
      </c>
      <c r="BX35" s="82">
        <f t="shared" si="20"/>
        <v>312.18555093555091</v>
      </c>
      <c r="BZ35" s="104">
        <v>32</v>
      </c>
      <c r="CA35" s="82">
        <f t="shared" si="21"/>
        <v>100.95530145530145</v>
      </c>
      <c r="CB35" s="82">
        <f t="shared" si="21"/>
        <v>101.87318087318087</v>
      </c>
      <c r="CC35" s="82">
        <f t="shared" si="21"/>
        <v>102.50831600831602</v>
      </c>
      <c r="CD35" s="82">
        <f t="shared" si="21"/>
        <v>103.42645530145531</v>
      </c>
      <c r="CE35" s="82">
        <f t="shared" si="21"/>
        <v>104.06185031185031</v>
      </c>
      <c r="CJ35" s="2"/>
      <c r="CK35" s="2"/>
      <c r="CL35" s="183">
        <v>32</v>
      </c>
      <c r="CM35" s="183">
        <f t="shared" si="23"/>
        <v>243077</v>
      </c>
      <c r="CN35" s="183">
        <v>32</v>
      </c>
      <c r="CO35" s="183">
        <v>243077</v>
      </c>
      <c r="CP35" s="183"/>
      <c r="CQ35" s="183"/>
      <c r="CR35" s="183"/>
      <c r="CS35" s="183"/>
    </row>
    <row r="36" spans="1:97" customFormat="1" ht="14.5" x14ac:dyDescent="0.35">
      <c r="A36">
        <v>33</v>
      </c>
      <c r="B36" s="217">
        <f t="shared" si="22"/>
        <v>32924.083333333336</v>
      </c>
      <c r="C36" s="217">
        <f t="shared" si="22"/>
        <v>33195.916666666664</v>
      </c>
      <c r="D36" s="217">
        <f t="shared" si="22"/>
        <v>33384.083333333336</v>
      </c>
      <c r="E36" s="217">
        <f t="shared" si="22"/>
        <v>33655.916666666664</v>
      </c>
      <c r="F36" s="217">
        <f t="shared" si="22"/>
        <v>33843.916666666664</v>
      </c>
      <c r="G36" s="175"/>
      <c r="H36" s="82"/>
      <c r="I36" s="82"/>
      <c r="J36" s="82"/>
      <c r="K36" s="82"/>
      <c r="L36" s="76">
        <v>33</v>
      </c>
      <c r="M36" s="229">
        <f t="shared" ref="M36:Q59" si="37">BF36/12</f>
        <v>32924.083333333336</v>
      </c>
      <c r="N36" s="229">
        <f t="shared" si="37"/>
        <v>33195.916666666664</v>
      </c>
      <c r="O36" s="229">
        <f t="shared" si="37"/>
        <v>33384.083333333336</v>
      </c>
      <c r="P36" s="229">
        <f t="shared" si="37"/>
        <v>33655.916666666664</v>
      </c>
      <c r="Q36" s="229">
        <f t="shared" si="37"/>
        <v>33843.916666666664</v>
      </c>
      <c r="S36" s="80">
        <f t="shared" ref="S36:S59" si="38">(BF36+ROUND((BG36-BF36)/3*faktor,0))/12</f>
        <v>14223892.666666666</v>
      </c>
      <c r="T36" s="80">
        <f t="shared" ref="T36:T59" si="39">(BG36+ROUND((BH36-BG36)/3*faktor,0))/12</f>
        <v>9856374</v>
      </c>
      <c r="U36" s="80">
        <f t="shared" ref="U36:U59" si="40">(BH36+ROUND((BI36-BH36)/3*faktor,0))/12</f>
        <v>14224352.666666666</v>
      </c>
      <c r="V36" s="80">
        <f t="shared" ref="V36:V59" si="41">(BI36+ROUND((BJ36-BI36)/3*faktor,0))/12</f>
        <v>9848133.25</v>
      </c>
      <c r="X36" s="104">
        <v>33</v>
      </c>
      <c r="Y36" s="114">
        <v>247215</v>
      </c>
      <c r="Z36" s="115">
        <f t="shared" ref="Z36:Z59" si="42">VLOOKUP(X36,grundsats_inkl._lavtløn,2,FALSE)</f>
        <v>247215</v>
      </c>
      <c r="AA36" s="116">
        <f t="shared" ref="AA36:AA59" si="43">ROUND(Z36*(1+regulering),0)</f>
        <v>395089</v>
      </c>
      <c r="AB36" s="114">
        <v>2534</v>
      </c>
      <c r="AC36" s="115">
        <v>4288</v>
      </c>
      <c r="AD36" s="115">
        <v>6822</v>
      </c>
      <c r="AE36" s="116">
        <v>8575</v>
      </c>
      <c r="AF36" s="115"/>
      <c r="AG36" s="115">
        <v>2041</v>
      </c>
      <c r="AH36" s="115">
        <v>3454</v>
      </c>
      <c r="AI36" s="115">
        <v>5495</v>
      </c>
      <c r="AJ36" s="115">
        <v>6907</v>
      </c>
      <c r="AK36" s="115"/>
      <c r="AL36" s="115">
        <f t="shared" si="36"/>
        <v>3262</v>
      </c>
      <c r="AM36" s="115">
        <f t="shared" si="33"/>
        <v>5520</v>
      </c>
      <c r="AN36" s="115">
        <f t="shared" si="33"/>
        <v>8782</v>
      </c>
      <c r="AO36" s="115">
        <f t="shared" si="33"/>
        <v>11038</v>
      </c>
      <c r="AP36" s="115"/>
      <c r="AQ36" s="114">
        <f t="shared" si="9"/>
        <v>395089</v>
      </c>
      <c r="AR36" s="117">
        <f t="shared" ref="AR36:AU59" si="44">$AA36+AL36</f>
        <v>398351</v>
      </c>
      <c r="AS36" s="118">
        <f t="shared" si="44"/>
        <v>400609</v>
      </c>
      <c r="AT36" s="118">
        <f t="shared" si="44"/>
        <v>403871</v>
      </c>
      <c r="AU36" s="119">
        <f t="shared" si="44"/>
        <v>406127</v>
      </c>
      <c r="AW36" s="114">
        <v>247215</v>
      </c>
      <c r="AX36" s="118">
        <f t="shared" si="34"/>
        <v>147873.87718500002</v>
      </c>
      <c r="AY36" s="119">
        <f t="shared" si="35"/>
        <v>395089</v>
      </c>
      <c r="BA36" s="81">
        <f t="shared" ref="BA36:BA59" si="45">ROUND(AL36*udbygningspct,0)</f>
        <v>3262</v>
      </c>
      <c r="BB36" s="81">
        <f t="shared" ref="BB36:BB59" si="46">ROUND(AM36*udbygningspct,0)</f>
        <v>5520</v>
      </c>
      <c r="BC36" s="81">
        <f t="shared" ref="BC36:BC59" si="47">ROUND(AN36*udbygningspct,0)</f>
        <v>8782</v>
      </c>
      <c r="BD36" s="81">
        <f t="shared" ref="BD36:BD59" si="48">ROUND(AO36*udbygningspct,0)</f>
        <v>11038</v>
      </c>
      <c r="BE36" s="76"/>
      <c r="BF36" s="81">
        <f t="shared" si="17"/>
        <v>395089</v>
      </c>
      <c r="BG36" s="81">
        <f t="shared" ref="BG36:BJ59" si="49">$BF36+BA36</f>
        <v>398351</v>
      </c>
      <c r="BH36" s="81">
        <f t="shared" si="49"/>
        <v>400609</v>
      </c>
      <c r="BI36" s="81">
        <f t="shared" si="49"/>
        <v>403871</v>
      </c>
      <c r="BJ36" s="81">
        <f t="shared" si="49"/>
        <v>406127</v>
      </c>
      <c r="BL36" s="104">
        <v>33</v>
      </c>
      <c r="BM36" s="82">
        <f t="shared" si="26"/>
        <v>205.35</v>
      </c>
      <c r="BN36" s="82">
        <f t="shared" si="26"/>
        <v>207.04</v>
      </c>
      <c r="BO36" s="82">
        <f t="shared" si="26"/>
        <v>208.22</v>
      </c>
      <c r="BP36" s="82">
        <f t="shared" si="26"/>
        <v>209.91</v>
      </c>
      <c r="BQ36" s="82">
        <f t="shared" si="26"/>
        <v>211.08</v>
      </c>
      <c r="BS36" s="104">
        <v>33</v>
      </c>
      <c r="BT36" s="82">
        <f t="shared" ref="BT36:BX59" si="50">AQ36/1924*1.5</f>
        <v>308.02156964656967</v>
      </c>
      <c r="BU36" s="82">
        <f t="shared" si="50"/>
        <v>310.56470893970891</v>
      </c>
      <c r="BV36" s="82">
        <f t="shared" si="50"/>
        <v>312.32510395010394</v>
      </c>
      <c r="BW36" s="82">
        <f t="shared" si="50"/>
        <v>314.86824324324323</v>
      </c>
      <c r="BX36" s="82">
        <f t="shared" si="50"/>
        <v>316.62707900207897</v>
      </c>
      <c r="BZ36" s="104">
        <v>33</v>
      </c>
      <c r="CA36" s="82">
        <f t="shared" ref="CA36:CE59" si="51">AQ36/1924/2</f>
        <v>102.67385654885655</v>
      </c>
      <c r="CB36" s="82">
        <f t="shared" si="51"/>
        <v>103.52156964656965</v>
      </c>
      <c r="CC36" s="82">
        <f t="shared" si="51"/>
        <v>104.10836798336798</v>
      </c>
      <c r="CD36" s="82">
        <f t="shared" si="51"/>
        <v>104.95608108108108</v>
      </c>
      <c r="CE36" s="82">
        <f t="shared" si="51"/>
        <v>105.54235966735966</v>
      </c>
      <c r="CJ36" s="2"/>
      <c r="CK36" s="2"/>
      <c r="CL36" s="183">
        <v>33</v>
      </c>
      <c r="CM36" s="183">
        <f t="shared" si="23"/>
        <v>247215</v>
      </c>
      <c r="CN36" s="183">
        <v>33</v>
      </c>
      <c r="CO36" s="183">
        <v>247215</v>
      </c>
      <c r="CP36" s="183"/>
      <c r="CQ36" s="183"/>
      <c r="CR36" s="183"/>
      <c r="CS36" s="183"/>
    </row>
    <row r="37" spans="1:97" customFormat="1" ht="14.5" x14ac:dyDescent="0.35">
      <c r="A37">
        <v>34</v>
      </c>
      <c r="B37" s="217">
        <f t="shared" ref="B37:F59" si="52">AQ37/12</f>
        <v>33487.916666666664</v>
      </c>
      <c r="C37" s="217">
        <f t="shared" si="52"/>
        <v>33735.916666666664</v>
      </c>
      <c r="D37" s="217">
        <f t="shared" si="52"/>
        <v>33907.416666666664</v>
      </c>
      <c r="E37" s="217">
        <f t="shared" si="52"/>
        <v>34155.416666666664</v>
      </c>
      <c r="F37" s="217">
        <f t="shared" si="52"/>
        <v>34327.083333333336</v>
      </c>
      <c r="G37" s="175"/>
      <c r="H37" s="82"/>
      <c r="I37" s="82"/>
      <c r="J37" s="82"/>
      <c r="K37" s="82"/>
      <c r="L37" s="76">
        <v>34</v>
      </c>
      <c r="M37" s="229">
        <f t="shared" si="37"/>
        <v>33487.916666666664</v>
      </c>
      <c r="N37" s="229">
        <f t="shared" si="37"/>
        <v>33735.916666666664</v>
      </c>
      <c r="O37" s="229">
        <f t="shared" si="37"/>
        <v>33907.416666666664</v>
      </c>
      <c r="P37" s="229">
        <f t="shared" si="37"/>
        <v>34155.416666666664</v>
      </c>
      <c r="Q37" s="229">
        <f t="shared" si="37"/>
        <v>34327.083333333336</v>
      </c>
      <c r="S37" s="80">
        <f t="shared" si="38"/>
        <v>12980245.25</v>
      </c>
      <c r="T37" s="80">
        <f t="shared" si="39"/>
        <v>8986836.25</v>
      </c>
      <c r="U37" s="80">
        <f t="shared" si="40"/>
        <v>12980664.75</v>
      </c>
      <c r="V37" s="80">
        <f t="shared" si="41"/>
        <v>8995956.5</v>
      </c>
      <c r="X37" s="104">
        <v>34</v>
      </c>
      <c r="Y37" s="114">
        <v>251449</v>
      </c>
      <c r="Z37" s="115">
        <f t="shared" si="42"/>
        <v>251449</v>
      </c>
      <c r="AA37" s="116">
        <f t="shared" si="43"/>
        <v>401855</v>
      </c>
      <c r="AB37" s="114">
        <v>2311</v>
      </c>
      <c r="AC37" s="115">
        <v>3911</v>
      </c>
      <c r="AD37" s="115">
        <v>6222</v>
      </c>
      <c r="AE37" s="116">
        <v>7823</v>
      </c>
      <c r="AF37" s="115"/>
      <c r="AG37" s="115">
        <v>1862</v>
      </c>
      <c r="AH37" s="115">
        <v>3150</v>
      </c>
      <c r="AI37" s="115">
        <v>5012</v>
      </c>
      <c r="AJ37" s="115">
        <v>6301</v>
      </c>
      <c r="AK37" s="115"/>
      <c r="AL37" s="115">
        <f t="shared" si="36"/>
        <v>2976</v>
      </c>
      <c r="AM37" s="115">
        <f t="shared" si="33"/>
        <v>5034</v>
      </c>
      <c r="AN37" s="115">
        <f t="shared" si="33"/>
        <v>8010</v>
      </c>
      <c r="AO37" s="115">
        <f t="shared" si="33"/>
        <v>10070</v>
      </c>
      <c r="AP37" s="115"/>
      <c r="AQ37" s="114">
        <f t="shared" si="9"/>
        <v>401855</v>
      </c>
      <c r="AR37" s="117">
        <f t="shared" si="44"/>
        <v>404831</v>
      </c>
      <c r="AS37" s="118">
        <f t="shared" si="44"/>
        <v>406889</v>
      </c>
      <c r="AT37" s="118">
        <f t="shared" si="44"/>
        <v>409865</v>
      </c>
      <c r="AU37" s="119">
        <f t="shared" si="44"/>
        <v>411925</v>
      </c>
      <c r="AW37" s="114">
        <v>251449</v>
      </c>
      <c r="AX37" s="118">
        <f t="shared" si="34"/>
        <v>150406.48239100003</v>
      </c>
      <c r="AY37" s="119">
        <f t="shared" si="35"/>
        <v>401855</v>
      </c>
      <c r="BA37" s="81">
        <f t="shared" si="45"/>
        <v>2976</v>
      </c>
      <c r="BB37" s="81">
        <f t="shared" si="46"/>
        <v>5034</v>
      </c>
      <c r="BC37" s="81">
        <f t="shared" si="47"/>
        <v>8010</v>
      </c>
      <c r="BD37" s="81">
        <f t="shared" si="48"/>
        <v>10070</v>
      </c>
      <c r="BE37" s="76"/>
      <c r="BF37" s="81">
        <f t="shared" si="17"/>
        <v>401855</v>
      </c>
      <c r="BG37" s="81">
        <f t="shared" si="49"/>
        <v>404831</v>
      </c>
      <c r="BH37" s="81">
        <f t="shared" si="49"/>
        <v>406889</v>
      </c>
      <c r="BI37" s="81">
        <f t="shared" si="49"/>
        <v>409865</v>
      </c>
      <c r="BJ37" s="81">
        <f t="shared" si="49"/>
        <v>411925</v>
      </c>
      <c r="BL37" s="104">
        <v>34</v>
      </c>
      <c r="BM37" s="82">
        <f t="shared" si="26"/>
        <v>208.86</v>
      </c>
      <c r="BN37" s="82">
        <f t="shared" si="26"/>
        <v>210.41</v>
      </c>
      <c r="BO37" s="82">
        <f t="shared" si="26"/>
        <v>211.48</v>
      </c>
      <c r="BP37" s="82">
        <f t="shared" si="26"/>
        <v>213.03</v>
      </c>
      <c r="BQ37" s="82">
        <f t="shared" si="26"/>
        <v>214.1</v>
      </c>
      <c r="BS37" s="104">
        <v>34</v>
      </c>
      <c r="BT37" s="82">
        <f t="shared" si="50"/>
        <v>313.29651767151768</v>
      </c>
      <c r="BU37" s="82">
        <f t="shared" si="50"/>
        <v>315.616683991684</v>
      </c>
      <c r="BV37" s="82">
        <f t="shared" si="50"/>
        <v>317.22115384615381</v>
      </c>
      <c r="BW37" s="82">
        <f t="shared" si="50"/>
        <v>319.54132016632013</v>
      </c>
      <c r="BX37" s="82">
        <f t="shared" si="50"/>
        <v>321.14734927234929</v>
      </c>
      <c r="BZ37" s="104">
        <v>34</v>
      </c>
      <c r="CA37" s="82">
        <f t="shared" si="51"/>
        <v>104.43217255717256</v>
      </c>
      <c r="CB37" s="82">
        <f t="shared" si="51"/>
        <v>105.20556133056132</v>
      </c>
      <c r="CC37" s="82">
        <f t="shared" si="51"/>
        <v>105.74038461538461</v>
      </c>
      <c r="CD37" s="82">
        <f t="shared" si="51"/>
        <v>106.51377338877339</v>
      </c>
      <c r="CE37" s="82">
        <f t="shared" si="51"/>
        <v>107.04911642411642</v>
      </c>
      <c r="CJ37" s="2"/>
      <c r="CK37" s="2"/>
      <c r="CL37" s="183">
        <v>34</v>
      </c>
      <c r="CM37" s="183">
        <f t="shared" si="23"/>
        <v>251449</v>
      </c>
      <c r="CN37" s="183">
        <v>34</v>
      </c>
      <c r="CO37" s="183">
        <v>251449</v>
      </c>
      <c r="CP37" s="183"/>
      <c r="CQ37" s="183"/>
      <c r="CR37" s="183"/>
      <c r="CS37" s="183"/>
    </row>
    <row r="38" spans="1:97" customFormat="1" ht="14.5" x14ac:dyDescent="0.35">
      <c r="A38">
        <v>35</v>
      </c>
      <c r="B38" s="217">
        <f t="shared" si="52"/>
        <v>34063.666666666664</v>
      </c>
      <c r="C38" s="217">
        <f t="shared" si="52"/>
        <v>34286.333333333336</v>
      </c>
      <c r="D38" s="217">
        <f t="shared" si="52"/>
        <v>34440.416666666664</v>
      </c>
      <c r="E38" s="217">
        <f t="shared" si="52"/>
        <v>34663</v>
      </c>
      <c r="F38" s="217">
        <f t="shared" si="52"/>
        <v>34817.166666666664</v>
      </c>
      <c r="G38" s="175"/>
      <c r="H38" s="82"/>
      <c r="I38" s="82"/>
      <c r="J38" s="82"/>
      <c r="K38" s="82"/>
      <c r="L38" s="76">
        <v>35</v>
      </c>
      <c r="M38" s="229">
        <f t="shared" si="37"/>
        <v>34063.666666666664</v>
      </c>
      <c r="N38" s="229">
        <f t="shared" si="37"/>
        <v>34286.333333333336</v>
      </c>
      <c r="O38" s="229">
        <f t="shared" si="37"/>
        <v>34440.416666666664</v>
      </c>
      <c r="P38" s="229">
        <f t="shared" si="37"/>
        <v>34663</v>
      </c>
      <c r="Q38" s="229">
        <f t="shared" si="37"/>
        <v>34817.166666666664</v>
      </c>
      <c r="S38" s="80">
        <f t="shared" si="38"/>
        <v>11658302.75</v>
      </c>
      <c r="T38" s="80">
        <f t="shared" si="39"/>
        <v>8078155.416666667</v>
      </c>
      <c r="U38" s="80">
        <f t="shared" si="40"/>
        <v>11654329.166666666</v>
      </c>
      <c r="V38" s="80">
        <f t="shared" si="41"/>
        <v>8082882.416666667</v>
      </c>
      <c r="X38" s="104">
        <v>35</v>
      </c>
      <c r="Y38" s="120">
        <v>255772</v>
      </c>
      <c r="Z38" s="121">
        <f t="shared" si="42"/>
        <v>255772</v>
      </c>
      <c r="AA38" s="122">
        <f t="shared" si="43"/>
        <v>408764</v>
      </c>
      <c r="AB38" s="120">
        <v>2076</v>
      </c>
      <c r="AC38" s="121">
        <v>3512</v>
      </c>
      <c r="AD38" s="121">
        <v>5586</v>
      </c>
      <c r="AE38" s="122">
        <v>7024</v>
      </c>
      <c r="AF38" s="121"/>
      <c r="AG38" s="121">
        <v>1672</v>
      </c>
      <c r="AH38" s="121">
        <v>2829</v>
      </c>
      <c r="AI38" s="121">
        <v>4500</v>
      </c>
      <c r="AJ38" s="121">
        <v>5658</v>
      </c>
      <c r="AK38" s="121"/>
      <c r="AL38" s="121">
        <f t="shared" si="36"/>
        <v>2672</v>
      </c>
      <c r="AM38" s="121">
        <f t="shared" si="33"/>
        <v>4521</v>
      </c>
      <c r="AN38" s="121">
        <f t="shared" si="33"/>
        <v>7192</v>
      </c>
      <c r="AO38" s="121">
        <f t="shared" si="33"/>
        <v>9042</v>
      </c>
      <c r="AP38" s="121"/>
      <c r="AQ38" s="120">
        <f t="shared" si="9"/>
        <v>408764</v>
      </c>
      <c r="AR38" s="123">
        <f t="shared" si="44"/>
        <v>411436</v>
      </c>
      <c r="AS38" s="124">
        <f t="shared" si="44"/>
        <v>413285</v>
      </c>
      <c r="AT38" s="124">
        <f t="shared" si="44"/>
        <v>415956</v>
      </c>
      <c r="AU38" s="125">
        <f t="shared" si="44"/>
        <v>417806</v>
      </c>
      <c r="AW38" s="120">
        <v>255772</v>
      </c>
      <c r="AX38" s="124">
        <f t="shared" si="34"/>
        <v>152992.32374800002</v>
      </c>
      <c r="AY38" s="125">
        <f t="shared" si="35"/>
        <v>408764</v>
      </c>
      <c r="BA38" s="81">
        <f t="shared" si="45"/>
        <v>2672</v>
      </c>
      <c r="BB38" s="81">
        <f t="shared" si="46"/>
        <v>4521</v>
      </c>
      <c r="BC38" s="81">
        <f t="shared" si="47"/>
        <v>7192</v>
      </c>
      <c r="BD38" s="81">
        <f t="shared" si="48"/>
        <v>9042</v>
      </c>
      <c r="BE38" s="76"/>
      <c r="BF38" s="81">
        <f t="shared" si="17"/>
        <v>408764</v>
      </c>
      <c r="BG38" s="81">
        <f t="shared" si="49"/>
        <v>411436</v>
      </c>
      <c r="BH38" s="81">
        <f t="shared" si="49"/>
        <v>413285</v>
      </c>
      <c r="BI38" s="81">
        <f t="shared" si="49"/>
        <v>415956</v>
      </c>
      <c r="BJ38" s="81">
        <f t="shared" si="49"/>
        <v>417806</v>
      </c>
      <c r="BL38" s="104">
        <v>35</v>
      </c>
      <c r="BM38" s="82">
        <f t="shared" si="26"/>
        <v>212.46</v>
      </c>
      <c r="BN38" s="82">
        <f t="shared" si="26"/>
        <v>213.84</v>
      </c>
      <c r="BO38" s="82">
        <f t="shared" si="26"/>
        <v>214.81</v>
      </c>
      <c r="BP38" s="82">
        <f t="shared" si="26"/>
        <v>216.19</v>
      </c>
      <c r="BQ38" s="82">
        <f t="shared" si="26"/>
        <v>217.15</v>
      </c>
      <c r="BS38" s="104">
        <v>35</v>
      </c>
      <c r="BT38" s="82">
        <f t="shared" si="50"/>
        <v>318.68295218295219</v>
      </c>
      <c r="BU38" s="82">
        <f t="shared" si="50"/>
        <v>320.76611226611226</v>
      </c>
      <c r="BV38" s="82">
        <f t="shared" si="50"/>
        <v>322.20764033264032</v>
      </c>
      <c r="BW38" s="82">
        <f t="shared" si="50"/>
        <v>324.29002079002078</v>
      </c>
      <c r="BX38" s="82">
        <f t="shared" si="50"/>
        <v>325.73232848232846</v>
      </c>
      <c r="BZ38" s="104">
        <v>35</v>
      </c>
      <c r="CA38" s="82">
        <f t="shared" si="51"/>
        <v>106.22765072765073</v>
      </c>
      <c r="CB38" s="82">
        <f t="shared" si="51"/>
        <v>106.92203742203742</v>
      </c>
      <c r="CC38" s="82">
        <f t="shared" si="51"/>
        <v>107.40254677754677</v>
      </c>
      <c r="CD38" s="82">
        <f t="shared" si="51"/>
        <v>108.0966735966736</v>
      </c>
      <c r="CE38" s="82">
        <f t="shared" si="51"/>
        <v>108.57744282744282</v>
      </c>
      <c r="CJ38" s="2"/>
      <c r="CK38" s="2"/>
      <c r="CL38" s="183">
        <v>35</v>
      </c>
      <c r="CM38" s="183">
        <f t="shared" si="23"/>
        <v>255772</v>
      </c>
      <c r="CN38" s="183">
        <v>35</v>
      </c>
      <c r="CO38" s="183">
        <v>255772</v>
      </c>
      <c r="CP38" s="183"/>
      <c r="CQ38" s="183"/>
      <c r="CR38" s="183"/>
      <c r="CS38" s="183"/>
    </row>
    <row r="39" spans="1:97" customFormat="1" ht="14.5" x14ac:dyDescent="0.35">
      <c r="A39">
        <v>36</v>
      </c>
      <c r="B39" s="217">
        <f t="shared" si="52"/>
        <v>34652.583333333336</v>
      </c>
      <c r="C39" s="217">
        <f t="shared" si="52"/>
        <v>34848.5</v>
      </c>
      <c r="D39" s="217">
        <f t="shared" si="52"/>
        <v>34983.916666666664</v>
      </c>
      <c r="E39" s="217">
        <f t="shared" si="52"/>
        <v>35179.75</v>
      </c>
      <c r="F39" s="217">
        <f t="shared" si="52"/>
        <v>35315.25</v>
      </c>
      <c r="G39" s="175"/>
      <c r="H39" s="82"/>
      <c r="I39" s="82"/>
      <c r="J39" s="82"/>
      <c r="K39" s="82"/>
      <c r="L39" s="76">
        <v>36</v>
      </c>
      <c r="M39" s="229">
        <f t="shared" si="37"/>
        <v>34652.583333333336</v>
      </c>
      <c r="N39" s="229">
        <f t="shared" si="37"/>
        <v>34848.5</v>
      </c>
      <c r="O39" s="229">
        <f t="shared" si="37"/>
        <v>34983.916666666664</v>
      </c>
      <c r="P39" s="229">
        <f t="shared" si="37"/>
        <v>35179.75</v>
      </c>
      <c r="Q39" s="229">
        <f t="shared" si="37"/>
        <v>35315.25</v>
      </c>
      <c r="S39" s="80">
        <f t="shared" si="38"/>
        <v>10262416.833333334</v>
      </c>
      <c r="T39" s="80">
        <f t="shared" si="39"/>
        <v>7104230.416666667</v>
      </c>
      <c r="U39" s="80">
        <f t="shared" si="40"/>
        <v>10258397.833333334</v>
      </c>
      <c r="V39" s="80">
        <f t="shared" si="41"/>
        <v>7108912.083333333</v>
      </c>
      <c r="X39" s="104">
        <v>36</v>
      </c>
      <c r="Y39" s="114">
        <v>260194</v>
      </c>
      <c r="Z39" s="115">
        <f t="shared" si="42"/>
        <v>260194</v>
      </c>
      <c r="AA39" s="116">
        <f t="shared" si="43"/>
        <v>415831</v>
      </c>
      <c r="AB39" s="114">
        <v>1826</v>
      </c>
      <c r="AC39" s="115">
        <v>3089</v>
      </c>
      <c r="AD39" s="115">
        <v>4914</v>
      </c>
      <c r="AE39" s="116">
        <v>6177</v>
      </c>
      <c r="AF39" s="115"/>
      <c r="AG39" s="115">
        <v>1471</v>
      </c>
      <c r="AH39" s="115">
        <v>2488</v>
      </c>
      <c r="AI39" s="115">
        <v>3958</v>
      </c>
      <c r="AJ39" s="115">
        <v>4976</v>
      </c>
      <c r="AK39" s="115"/>
      <c r="AL39" s="115">
        <f t="shared" si="36"/>
        <v>2351</v>
      </c>
      <c r="AM39" s="115">
        <f t="shared" si="33"/>
        <v>3976</v>
      </c>
      <c r="AN39" s="115">
        <f t="shared" si="33"/>
        <v>6326</v>
      </c>
      <c r="AO39" s="115">
        <f t="shared" si="33"/>
        <v>7952</v>
      </c>
      <c r="AP39" s="115"/>
      <c r="AQ39" s="114">
        <f t="shared" si="9"/>
        <v>415831</v>
      </c>
      <c r="AR39" s="117">
        <f t="shared" si="44"/>
        <v>418182</v>
      </c>
      <c r="AS39" s="118">
        <f t="shared" si="44"/>
        <v>419807</v>
      </c>
      <c r="AT39" s="118">
        <f t="shared" si="44"/>
        <v>422157</v>
      </c>
      <c r="AU39" s="119">
        <f t="shared" si="44"/>
        <v>423783</v>
      </c>
      <c r="AW39" s="114">
        <v>260194</v>
      </c>
      <c r="AX39" s="118">
        <f t="shared" si="34"/>
        <v>155637.38284600002</v>
      </c>
      <c r="AY39" s="119">
        <f t="shared" si="35"/>
        <v>415831</v>
      </c>
      <c r="BA39" s="81">
        <f t="shared" si="45"/>
        <v>2351</v>
      </c>
      <c r="BB39" s="81">
        <f t="shared" si="46"/>
        <v>3976</v>
      </c>
      <c r="BC39" s="81">
        <f t="shared" si="47"/>
        <v>6326</v>
      </c>
      <c r="BD39" s="81">
        <f t="shared" si="48"/>
        <v>7952</v>
      </c>
      <c r="BE39" s="76"/>
      <c r="BF39" s="81">
        <f t="shared" si="17"/>
        <v>415831</v>
      </c>
      <c r="BG39" s="81">
        <f t="shared" si="49"/>
        <v>418182</v>
      </c>
      <c r="BH39" s="81">
        <f t="shared" si="49"/>
        <v>419807</v>
      </c>
      <c r="BI39" s="81">
        <f t="shared" si="49"/>
        <v>422157</v>
      </c>
      <c r="BJ39" s="81">
        <f t="shared" si="49"/>
        <v>423783</v>
      </c>
      <c r="BL39" s="104">
        <v>36</v>
      </c>
      <c r="BM39" s="82">
        <f t="shared" si="26"/>
        <v>216.13</v>
      </c>
      <c r="BN39" s="82">
        <f t="shared" si="26"/>
        <v>217.35</v>
      </c>
      <c r="BO39" s="82">
        <f t="shared" si="26"/>
        <v>218.19</v>
      </c>
      <c r="BP39" s="82">
        <f t="shared" si="26"/>
        <v>219.42</v>
      </c>
      <c r="BQ39" s="82">
        <f t="shared" si="26"/>
        <v>220.26</v>
      </c>
      <c r="BS39" s="104">
        <v>36</v>
      </c>
      <c r="BT39" s="82">
        <f t="shared" si="50"/>
        <v>324.19256756756761</v>
      </c>
      <c r="BU39" s="82">
        <f t="shared" si="50"/>
        <v>326.02546777546775</v>
      </c>
      <c r="BV39" s="82">
        <f t="shared" si="50"/>
        <v>327.29235966735968</v>
      </c>
      <c r="BW39" s="82">
        <f t="shared" si="50"/>
        <v>329.12448024948026</v>
      </c>
      <c r="BX39" s="82">
        <f t="shared" si="50"/>
        <v>330.39215176715174</v>
      </c>
      <c r="BZ39" s="104">
        <v>36</v>
      </c>
      <c r="CA39" s="82">
        <f t="shared" si="51"/>
        <v>108.06418918918919</v>
      </c>
      <c r="CB39" s="82">
        <f t="shared" si="51"/>
        <v>108.67515592515592</v>
      </c>
      <c r="CC39" s="82">
        <f t="shared" si="51"/>
        <v>109.09745322245323</v>
      </c>
      <c r="CD39" s="82">
        <f t="shared" si="51"/>
        <v>109.70816008316008</v>
      </c>
      <c r="CE39" s="82">
        <f t="shared" si="51"/>
        <v>110.13071725571726</v>
      </c>
      <c r="CJ39" s="2"/>
      <c r="CK39" s="2"/>
      <c r="CL39" s="183">
        <v>36</v>
      </c>
      <c r="CM39" s="183">
        <f t="shared" si="23"/>
        <v>260194</v>
      </c>
      <c r="CN39" s="183">
        <v>36</v>
      </c>
      <c r="CO39" s="183">
        <v>260194</v>
      </c>
      <c r="CP39" s="183"/>
      <c r="CQ39" s="183"/>
      <c r="CR39" s="183"/>
      <c r="CS39" s="183"/>
    </row>
    <row r="40" spans="1:97" customFormat="1" ht="14.5" x14ac:dyDescent="0.35">
      <c r="A40">
        <v>37</v>
      </c>
      <c r="B40" s="217">
        <f t="shared" si="52"/>
        <v>35254.333333333336</v>
      </c>
      <c r="C40" s="217">
        <f t="shared" si="52"/>
        <v>35421.75</v>
      </c>
      <c r="D40" s="217">
        <f t="shared" si="52"/>
        <v>35537.75</v>
      </c>
      <c r="E40" s="217">
        <f t="shared" si="52"/>
        <v>35705.166666666664</v>
      </c>
      <c r="F40" s="217">
        <f t="shared" si="52"/>
        <v>35821</v>
      </c>
      <c r="G40" s="175"/>
      <c r="H40" s="82"/>
      <c r="I40" s="82"/>
      <c r="J40" s="82"/>
      <c r="K40" s="82"/>
      <c r="L40" s="76">
        <v>37</v>
      </c>
      <c r="M40" s="229">
        <f t="shared" si="37"/>
        <v>35254.333333333336</v>
      </c>
      <c r="N40" s="229">
        <f t="shared" si="37"/>
        <v>35421.75</v>
      </c>
      <c r="O40" s="229">
        <f t="shared" si="37"/>
        <v>35537.75</v>
      </c>
      <c r="P40" s="229">
        <f t="shared" si="37"/>
        <v>35705.166666666664</v>
      </c>
      <c r="Q40" s="229">
        <f t="shared" si="37"/>
        <v>35821</v>
      </c>
      <c r="S40" s="80">
        <f t="shared" si="38"/>
        <v>8775185.583333334</v>
      </c>
      <c r="T40" s="80">
        <f t="shared" si="39"/>
        <v>6091163.083333333</v>
      </c>
      <c r="U40" s="80">
        <f t="shared" si="40"/>
        <v>8775469</v>
      </c>
      <c r="V40" s="80">
        <f t="shared" si="41"/>
        <v>6082745.75</v>
      </c>
      <c r="X40" s="104">
        <v>37</v>
      </c>
      <c r="Y40" s="114">
        <v>264712</v>
      </c>
      <c r="Z40" s="115">
        <f t="shared" si="42"/>
        <v>264712</v>
      </c>
      <c r="AA40" s="116">
        <f t="shared" si="43"/>
        <v>423052</v>
      </c>
      <c r="AB40" s="114">
        <v>1560</v>
      </c>
      <c r="AC40" s="115">
        <v>2642</v>
      </c>
      <c r="AD40" s="115">
        <v>4202</v>
      </c>
      <c r="AE40" s="116">
        <v>5282</v>
      </c>
      <c r="AF40" s="115"/>
      <c r="AG40" s="115">
        <v>1257</v>
      </c>
      <c r="AH40" s="115">
        <v>2128</v>
      </c>
      <c r="AI40" s="115">
        <v>3385</v>
      </c>
      <c r="AJ40" s="115">
        <v>4255</v>
      </c>
      <c r="AK40" s="115"/>
      <c r="AL40" s="115">
        <f t="shared" si="36"/>
        <v>2009</v>
      </c>
      <c r="AM40" s="115">
        <f t="shared" si="33"/>
        <v>3401</v>
      </c>
      <c r="AN40" s="115">
        <f t="shared" si="33"/>
        <v>5410</v>
      </c>
      <c r="AO40" s="115">
        <f t="shared" si="33"/>
        <v>6800</v>
      </c>
      <c r="AP40" s="115"/>
      <c r="AQ40" s="114">
        <f t="shared" si="9"/>
        <v>423052</v>
      </c>
      <c r="AR40" s="117">
        <f t="shared" si="44"/>
        <v>425061</v>
      </c>
      <c r="AS40" s="118">
        <f t="shared" si="44"/>
        <v>426453</v>
      </c>
      <c r="AT40" s="118">
        <f t="shared" si="44"/>
        <v>428462</v>
      </c>
      <c r="AU40" s="119">
        <f t="shared" si="44"/>
        <v>429852</v>
      </c>
      <c r="AW40" s="114">
        <v>264712</v>
      </c>
      <c r="AX40" s="118">
        <f t="shared" si="34"/>
        <v>158339.86520800003</v>
      </c>
      <c r="AY40" s="119">
        <f t="shared" si="35"/>
        <v>423052</v>
      </c>
      <c r="BA40" s="81">
        <f t="shared" si="45"/>
        <v>2009</v>
      </c>
      <c r="BB40" s="81">
        <f t="shared" si="46"/>
        <v>3401</v>
      </c>
      <c r="BC40" s="81">
        <f t="shared" si="47"/>
        <v>5410</v>
      </c>
      <c r="BD40" s="81">
        <f t="shared" si="48"/>
        <v>6800</v>
      </c>
      <c r="BE40" s="76"/>
      <c r="BF40" s="81">
        <f t="shared" si="17"/>
        <v>423052</v>
      </c>
      <c r="BG40" s="81">
        <f t="shared" si="49"/>
        <v>425061</v>
      </c>
      <c r="BH40" s="81">
        <f t="shared" si="49"/>
        <v>426453</v>
      </c>
      <c r="BI40" s="81">
        <f t="shared" si="49"/>
        <v>428462</v>
      </c>
      <c r="BJ40" s="81">
        <f t="shared" si="49"/>
        <v>429852</v>
      </c>
      <c r="BL40" s="104">
        <v>37</v>
      </c>
      <c r="BM40" s="82">
        <f t="shared" si="26"/>
        <v>219.88</v>
      </c>
      <c r="BN40" s="82">
        <f t="shared" si="26"/>
        <v>220.93</v>
      </c>
      <c r="BO40" s="82">
        <f t="shared" si="26"/>
        <v>221.65</v>
      </c>
      <c r="BP40" s="82">
        <f t="shared" si="26"/>
        <v>222.69</v>
      </c>
      <c r="BQ40" s="82">
        <f t="shared" si="26"/>
        <v>223.42</v>
      </c>
      <c r="BS40" s="104">
        <v>37</v>
      </c>
      <c r="BT40" s="82">
        <f t="shared" si="50"/>
        <v>329.82224532224529</v>
      </c>
      <c r="BU40" s="82">
        <f t="shared" si="50"/>
        <v>331.38851351351354</v>
      </c>
      <c r="BV40" s="82">
        <f t="shared" si="50"/>
        <v>332.47375259875258</v>
      </c>
      <c r="BW40" s="82">
        <f t="shared" si="50"/>
        <v>334.04002079002078</v>
      </c>
      <c r="BX40" s="82">
        <f t="shared" si="50"/>
        <v>335.12370062370064</v>
      </c>
      <c r="BZ40" s="104">
        <v>37</v>
      </c>
      <c r="CA40" s="82">
        <f t="shared" si="51"/>
        <v>109.94074844074844</v>
      </c>
      <c r="CB40" s="82">
        <f t="shared" si="51"/>
        <v>110.46283783783784</v>
      </c>
      <c r="CC40" s="82">
        <f t="shared" si="51"/>
        <v>110.82458419958419</v>
      </c>
      <c r="CD40" s="82">
        <f t="shared" si="51"/>
        <v>111.3466735966736</v>
      </c>
      <c r="CE40" s="82">
        <f t="shared" si="51"/>
        <v>111.70790020790021</v>
      </c>
      <c r="CJ40" s="2"/>
      <c r="CK40" s="2"/>
      <c r="CL40" s="183">
        <v>37</v>
      </c>
      <c r="CM40" s="183">
        <f t="shared" si="23"/>
        <v>264712</v>
      </c>
      <c r="CN40" s="183">
        <v>37</v>
      </c>
      <c r="CO40" s="183">
        <v>264712</v>
      </c>
      <c r="CP40" s="183"/>
      <c r="CQ40" s="183"/>
      <c r="CR40" s="183"/>
      <c r="CS40" s="183"/>
    </row>
    <row r="41" spans="1:97" customFormat="1" ht="14.5" x14ac:dyDescent="0.35">
      <c r="A41">
        <v>38</v>
      </c>
      <c r="B41" s="217">
        <f t="shared" si="52"/>
        <v>35893.083333333336</v>
      </c>
      <c r="C41" s="217">
        <f t="shared" si="52"/>
        <v>36033.166666666664</v>
      </c>
      <c r="D41" s="217">
        <f t="shared" si="52"/>
        <v>36130.25</v>
      </c>
      <c r="E41" s="217">
        <f t="shared" si="52"/>
        <v>36270.416666666664</v>
      </c>
      <c r="F41" s="217">
        <f t="shared" si="52"/>
        <v>36367.583333333336</v>
      </c>
      <c r="G41" s="175"/>
      <c r="H41" s="82"/>
      <c r="I41" s="82"/>
      <c r="J41" s="82"/>
      <c r="K41" s="82"/>
      <c r="L41" s="76">
        <v>38</v>
      </c>
      <c r="M41" s="229">
        <f t="shared" si="37"/>
        <v>35893.083333333336</v>
      </c>
      <c r="N41" s="229">
        <f t="shared" si="37"/>
        <v>36033.166666666664</v>
      </c>
      <c r="O41" s="229">
        <f t="shared" si="37"/>
        <v>36130.25</v>
      </c>
      <c r="P41" s="229">
        <f t="shared" si="37"/>
        <v>36270.416666666664</v>
      </c>
      <c r="Q41" s="229">
        <f t="shared" si="37"/>
        <v>36367.583333333336</v>
      </c>
      <c r="S41" s="80">
        <f t="shared" si="38"/>
        <v>7348896.833333333</v>
      </c>
      <c r="T41" s="80">
        <f t="shared" si="39"/>
        <v>5104236.25</v>
      </c>
      <c r="U41" s="80">
        <f t="shared" si="40"/>
        <v>7353484.333333333</v>
      </c>
      <c r="V41" s="80">
        <f t="shared" si="41"/>
        <v>5108823.833333333</v>
      </c>
      <c r="X41" s="104">
        <v>38</v>
      </c>
      <c r="Y41" s="114">
        <v>269508</v>
      </c>
      <c r="Z41" s="115">
        <f t="shared" si="42"/>
        <v>269508</v>
      </c>
      <c r="AA41" s="116">
        <f t="shared" si="43"/>
        <v>430717</v>
      </c>
      <c r="AB41" s="114">
        <v>1306</v>
      </c>
      <c r="AC41" s="115">
        <v>2211</v>
      </c>
      <c r="AD41" s="115">
        <v>3517</v>
      </c>
      <c r="AE41" s="116">
        <v>4423</v>
      </c>
      <c r="AF41" s="115"/>
      <c r="AG41" s="115">
        <v>1052</v>
      </c>
      <c r="AH41" s="115">
        <v>1781</v>
      </c>
      <c r="AI41" s="115">
        <v>2833</v>
      </c>
      <c r="AJ41" s="115">
        <v>3563</v>
      </c>
      <c r="AK41" s="115"/>
      <c r="AL41" s="115">
        <f t="shared" si="36"/>
        <v>1681</v>
      </c>
      <c r="AM41" s="115">
        <f t="shared" si="36"/>
        <v>2846</v>
      </c>
      <c r="AN41" s="115">
        <f t="shared" si="36"/>
        <v>4528</v>
      </c>
      <c r="AO41" s="115">
        <f t="shared" si="36"/>
        <v>5694</v>
      </c>
      <c r="AP41" s="115"/>
      <c r="AQ41" s="114">
        <f t="shared" si="9"/>
        <v>430717</v>
      </c>
      <c r="AR41" s="117">
        <f t="shared" si="44"/>
        <v>432398</v>
      </c>
      <c r="AS41" s="118">
        <f t="shared" si="44"/>
        <v>433563</v>
      </c>
      <c r="AT41" s="118">
        <f t="shared" si="44"/>
        <v>435245</v>
      </c>
      <c r="AU41" s="119">
        <f t="shared" si="44"/>
        <v>436411</v>
      </c>
      <c r="AW41" s="114">
        <v>269508</v>
      </c>
      <c r="AX41" s="118">
        <f t="shared" si="34"/>
        <v>161208.63577200004</v>
      </c>
      <c r="AY41" s="119">
        <f t="shared" si="35"/>
        <v>430717</v>
      </c>
      <c r="BA41" s="81">
        <f t="shared" si="45"/>
        <v>1681</v>
      </c>
      <c r="BB41" s="81">
        <f t="shared" si="46"/>
        <v>2846</v>
      </c>
      <c r="BC41" s="81">
        <f t="shared" si="47"/>
        <v>4528</v>
      </c>
      <c r="BD41" s="81">
        <f t="shared" si="48"/>
        <v>5694</v>
      </c>
      <c r="BE41" s="76"/>
      <c r="BF41" s="81">
        <f t="shared" si="17"/>
        <v>430717</v>
      </c>
      <c r="BG41" s="81">
        <f t="shared" si="49"/>
        <v>432398</v>
      </c>
      <c r="BH41" s="81">
        <f t="shared" si="49"/>
        <v>433563</v>
      </c>
      <c r="BI41" s="81">
        <f t="shared" si="49"/>
        <v>435245</v>
      </c>
      <c r="BJ41" s="81">
        <f t="shared" si="49"/>
        <v>436411</v>
      </c>
      <c r="BL41" s="104">
        <v>38</v>
      </c>
      <c r="BM41" s="82">
        <f t="shared" si="26"/>
        <v>223.87</v>
      </c>
      <c r="BN41" s="82">
        <f t="shared" si="26"/>
        <v>224.74</v>
      </c>
      <c r="BO41" s="82">
        <f t="shared" si="26"/>
        <v>225.34</v>
      </c>
      <c r="BP41" s="82">
        <f t="shared" si="26"/>
        <v>226.22</v>
      </c>
      <c r="BQ41" s="82">
        <f t="shared" si="26"/>
        <v>226.82</v>
      </c>
      <c r="BS41" s="104">
        <v>38</v>
      </c>
      <c r="BT41" s="82">
        <f t="shared" si="50"/>
        <v>335.79807692307691</v>
      </c>
      <c r="BU41" s="82">
        <f t="shared" si="50"/>
        <v>337.10862785862787</v>
      </c>
      <c r="BV41" s="82">
        <f t="shared" si="50"/>
        <v>338.01689189189187</v>
      </c>
      <c r="BW41" s="82">
        <f t="shared" si="50"/>
        <v>339.32822245322245</v>
      </c>
      <c r="BX41" s="82">
        <f t="shared" si="50"/>
        <v>340.23726611226607</v>
      </c>
      <c r="BZ41" s="104">
        <v>38</v>
      </c>
      <c r="CA41" s="82">
        <f t="shared" si="51"/>
        <v>111.93269230769231</v>
      </c>
      <c r="CB41" s="82">
        <f t="shared" si="51"/>
        <v>112.36954261954261</v>
      </c>
      <c r="CC41" s="82">
        <f t="shared" si="51"/>
        <v>112.67229729729729</v>
      </c>
      <c r="CD41" s="82">
        <f t="shared" si="51"/>
        <v>113.10940748440748</v>
      </c>
      <c r="CE41" s="82">
        <f t="shared" si="51"/>
        <v>113.41242203742203</v>
      </c>
      <c r="CJ41" s="2"/>
      <c r="CK41" s="2"/>
      <c r="CL41" s="183">
        <v>38</v>
      </c>
      <c r="CM41" s="183">
        <f t="shared" si="23"/>
        <v>269508</v>
      </c>
      <c r="CN41" s="183">
        <v>38</v>
      </c>
      <c r="CO41" s="183">
        <v>269508</v>
      </c>
      <c r="CP41" s="183"/>
      <c r="CQ41" s="183"/>
      <c r="CR41" s="183"/>
      <c r="CS41" s="183"/>
    </row>
    <row r="42" spans="1:97" customFormat="1" ht="14.5" x14ac:dyDescent="0.35">
      <c r="A42">
        <v>39</v>
      </c>
      <c r="B42" s="217">
        <f t="shared" si="52"/>
        <v>36534.333333333336</v>
      </c>
      <c r="C42" s="217">
        <f t="shared" si="52"/>
        <v>36642.25</v>
      </c>
      <c r="D42" s="217">
        <f t="shared" si="52"/>
        <v>36716.916666666664</v>
      </c>
      <c r="E42" s="217">
        <f t="shared" si="52"/>
        <v>36824.833333333336</v>
      </c>
      <c r="F42" s="217">
        <f t="shared" si="52"/>
        <v>36899.666666666664</v>
      </c>
      <c r="G42" s="175"/>
      <c r="H42" s="82"/>
      <c r="I42" s="82"/>
      <c r="J42" s="82"/>
      <c r="K42" s="82"/>
      <c r="L42" s="76">
        <v>39</v>
      </c>
      <c r="M42" s="229">
        <f t="shared" si="37"/>
        <v>36534.333333333336</v>
      </c>
      <c r="N42" s="229">
        <f t="shared" si="37"/>
        <v>36642.25</v>
      </c>
      <c r="O42" s="229">
        <f t="shared" si="37"/>
        <v>36716.916666666664</v>
      </c>
      <c r="P42" s="229">
        <f t="shared" si="37"/>
        <v>36824.833333333336</v>
      </c>
      <c r="Q42" s="229">
        <f t="shared" si="37"/>
        <v>36899.666666666664</v>
      </c>
      <c r="S42" s="80">
        <f t="shared" si="38"/>
        <v>5670287.916666667</v>
      </c>
      <c r="T42" s="80">
        <f t="shared" si="39"/>
        <v>3934590.6666666665</v>
      </c>
      <c r="U42" s="80">
        <f t="shared" si="40"/>
        <v>5670470.5</v>
      </c>
      <c r="V42" s="80">
        <f t="shared" si="41"/>
        <v>3943474.0833333335</v>
      </c>
      <c r="X42" s="104">
        <v>39</v>
      </c>
      <c r="Y42" s="114">
        <v>274323</v>
      </c>
      <c r="Z42" s="115">
        <f t="shared" si="42"/>
        <v>274323</v>
      </c>
      <c r="AA42" s="116">
        <f t="shared" si="43"/>
        <v>438412</v>
      </c>
      <c r="AB42" s="114">
        <v>1006</v>
      </c>
      <c r="AC42" s="115">
        <v>1702</v>
      </c>
      <c r="AD42" s="115">
        <v>2708</v>
      </c>
      <c r="AE42" s="116">
        <v>3405</v>
      </c>
      <c r="AF42" s="115"/>
      <c r="AG42" s="115">
        <v>810</v>
      </c>
      <c r="AH42" s="115">
        <v>1371</v>
      </c>
      <c r="AI42" s="115">
        <v>2181</v>
      </c>
      <c r="AJ42" s="115">
        <v>2743</v>
      </c>
      <c r="AK42" s="115"/>
      <c r="AL42" s="115">
        <f t="shared" si="36"/>
        <v>1295</v>
      </c>
      <c r="AM42" s="115">
        <f t="shared" si="36"/>
        <v>2191</v>
      </c>
      <c r="AN42" s="115">
        <f t="shared" si="36"/>
        <v>3486</v>
      </c>
      <c r="AO42" s="115">
        <f t="shared" si="36"/>
        <v>4384</v>
      </c>
      <c r="AP42" s="115"/>
      <c r="AQ42" s="114">
        <f t="shared" si="9"/>
        <v>438412</v>
      </c>
      <c r="AR42" s="117">
        <f t="shared" si="44"/>
        <v>439707</v>
      </c>
      <c r="AS42" s="118">
        <f t="shared" si="44"/>
        <v>440603</v>
      </c>
      <c r="AT42" s="118">
        <f t="shared" si="44"/>
        <v>441898</v>
      </c>
      <c r="AU42" s="119">
        <f t="shared" si="44"/>
        <v>442796</v>
      </c>
      <c r="AW42" s="114">
        <v>274323</v>
      </c>
      <c r="AX42" s="118">
        <f t="shared" si="34"/>
        <v>164088.77135700002</v>
      </c>
      <c r="AY42" s="119">
        <f t="shared" si="35"/>
        <v>438412</v>
      </c>
      <c r="BA42" s="81">
        <f t="shared" si="45"/>
        <v>1295</v>
      </c>
      <c r="BB42" s="81">
        <f t="shared" si="46"/>
        <v>2191</v>
      </c>
      <c r="BC42" s="81">
        <f t="shared" si="47"/>
        <v>3486</v>
      </c>
      <c r="BD42" s="81">
        <f t="shared" si="48"/>
        <v>4384</v>
      </c>
      <c r="BE42" s="76"/>
      <c r="BF42" s="81">
        <f t="shared" si="17"/>
        <v>438412</v>
      </c>
      <c r="BG42" s="81">
        <f t="shared" si="49"/>
        <v>439707</v>
      </c>
      <c r="BH42" s="81">
        <f t="shared" si="49"/>
        <v>440603</v>
      </c>
      <c r="BI42" s="81">
        <f t="shared" si="49"/>
        <v>441898</v>
      </c>
      <c r="BJ42" s="81">
        <f t="shared" si="49"/>
        <v>442796</v>
      </c>
      <c r="BL42" s="104">
        <v>39</v>
      </c>
      <c r="BM42" s="82">
        <f t="shared" si="26"/>
        <v>227.86</v>
      </c>
      <c r="BN42" s="82">
        <f t="shared" si="26"/>
        <v>228.54</v>
      </c>
      <c r="BO42" s="82">
        <f t="shared" si="26"/>
        <v>229</v>
      </c>
      <c r="BP42" s="82">
        <f t="shared" si="26"/>
        <v>229.68</v>
      </c>
      <c r="BQ42" s="82">
        <f t="shared" si="26"/>
        <v>230.14</v>
      </c>
      <c r="BS42" s="104">
        <v>39</v>
      </c>
      <c r="BT42" s="82">
        <f t="shared" si="50"/>
        <v>341.79729729729729</v>
      </c>
      <c r="BU42" s="82">
        <f t="shared" si="50"/>
        <v>342.80691268191265</v>
      </c>
      <c r="BV42" s="82">
        <f t="shared" si="50"/>
        <v>343.50545738045741</v>
      </c>
      <c r="BW42" s="82">
        <f t="shared" si="50"/>
        <v>344.51507276507277</v>
      </c>
      <c r="BX42" s="82">
        <f t="shared" si="50"/>
        <v>345.21517671517671</v>
      </c>
      <c r="BZ42" s="104">
        <v>39</v>
      </c>
      <c r="CA42" s="82">
        <f t="shared" si="51"/>
        <v>113.93243243243244</v>
      </c>
      <c r="CB42" s="82">
        <f t="shared" si="51"/>
        <v>114.26897089397089</v>
      </c>
      <c r="CC42" s="82">
        <f t="shared" si="51"/>
        <v>114.50181912681913</v>
      </c>
      <c r="CD42" s="82">
        <f t="shared" si="51"/>
        <v>114.83835758835758</v>
      </c>
      <c r="CE42" s="82">
        <f t="shared" si="51"/>
        <v>115.07172557172557</v>
      </c>
      <c r="CJ42" s="2"/>
      <c r="CK42" s="2"/>
      <c r="CL42" s="183">
        <v>39</v>
      </c>
      <c r="CM42" s="183">
        <f t="shared" si="23"/>
        <v>274323</v>
      </c>
      <c r="CN42" s="183">
        <v>39</v>
      </c>
      <c r="CO42" s="183">
        <v>274323</v>
      </c>
      <c r="CP42" s="183"/>
      <c r="CQ42" s="183"/>
      <c r="CR42" s="183"/>
      <c r="CS42" s="183"/>
    </row>
    <row r="43" spans="1:97" customFormat="1" ht="14.5" x14ac:dyDescent="0.35">
      <c r="A43">
        <v>40</v>
      </c>
      <c r="B43" s="217">
        <f t="shared" si="52"/>
        <v>37190.083333333336</v>
      </c>
      <c r="C43" s="217">
        <f t="shared" si="52"/>
        <v>37263.833333333336</v>
      </c>
      <c r="D43" s="217">
        <f t="shared" si="52"/>
        <v>37315</v>
      </c>
      <c r="E43" s="217">
        <f t="shared" si="52"/>
        <v>37388.916666666664</v>
      </c>
      <c r="F43" s="217">
        <f t="shared" si="52"/>
        <v>37440.083333333336</v>
      </c>
      <c r="G43" s="175"/>
      <c r="H43" s="82"/>
      <c r="I43" s="82"/>
      <c r="J43" s="82"/>
      <c r="K43" s="82"/>
      <c r="L43" s="76">
        <v>40</v>
      </c>
      <c r="M43" s="229">
        <f t="shared" si="37"/>
        <v>37190.083333333336</v>
      </c>
      <c r="N43" s="229">
        <f t="shared" si="37"/>
        <v>37263.833333333336</v>
      </c>
      <c r="O43" s="229">
        <f t="shared" si="37"/>
        <v>37315</v>
      </c>
      <c r="P43" s="229">
        <f t="shared" si="37"/>
        <v>37388.916666666664</v>
      </c>
      <c r="Q43" s="229">
        <f t="shared" si="37"/>
        <v>37440.083333333336</v>
      </c>
      <c r="S43" s="80">
        <f t="shared" si="38"/>
        <v>3887284.25</v>
      </c>
      <c r="T43" s="80">
        <f t="shared" si="39"/>
        <v>2708402.5833333335</v>
      </c>
      <c r="U43" s="80">
        <f t="shared" si="40"/>
        <v>3896109.9166666665</v>
      </c>
      <c r="V43" s="80">
        <f t="shared" si="41"/>
        <v>2708527.6666666665</v>
      </c>
      <c r="X43" s="104">
        <v>40</v>
      </c>
      <c r="Y43" s="120">
        <v>279247</v>
      </c>
      <c r="Z43" s="121">
        <f t="shared" si="42"/>
        <v>279247</v>
      </c>
      <c r="AA43" s="122">
        <f t="shared" si="43"/>
        <v>446281</v>
      </c>
      <c r="AB43" s="120">
        <v>688</v>
      </c>
      <c r="AC43" s="121">
        <v>1165</v>
      </c>
      <c r="AD43" s="121">
        <v>1853</v>
      </c>
      <c r="AE43" s="122">
        <v>2330</v>
      </c>
      <c r="AF43" s="121"/>
      <c r="AG43" s="121">
        <v>554</v>
      </c>
      <c r="AH43" s="121">
        <v>938</v>
      </c>
      <c r="AI43" s="121">
        <v>1493</v>
      </c>
      <c r="AJ43" s="121">
        <v>1877</v>
      </c>
      <c r="AK43" s="121"/>
      <c r="AL43" s="121">
        <f t="shared" si="36"/>
        <v>885</v>
      </c>
      <c r="AM43" s="121">
        <f t="shared" si="36"/>
        <v>1499</v>
      </c>
      <c r="AN43" s="121">
        <f t="shared" si="36"/>
        <v>2386</v>
      </c>
      <c r="AO43" s="121">
        <f t="shared" si="36"/>
        <v>3000</v>
      </c>
      <c r="AP43" s="121"/>
      <c r="AQ43" s="120">
        <f t="shared" si="9"/>
        <v>446281</v>
      </c>
      <c r="AR43" s="123">
        <f t="shared" si="44"/>
        <v>447166</v>
      </c>
      <c r="AS43" s="124">
        <f t="shared" si="44"/>
        <v>447780</v>
      </c>
      <c r="AT43" s="124">
        <f t="shared" si="44"/>
        <v>448667</v>
      </c>
      <c r="AU43" s="125">
        <f t="shared" si="44"/>
        <v>449281</v>
      </c>
      <c r="AW43" s="120">
        <v>279247</v>
      </c>
      <c r="AX43" s="124">
        <f t="shared" si="34"/>
        <v>167034.10627300004</v>
      </c>
      <c r="AY43" s="125">
        <f t="shared" si="35"/>
        <v>446281</v>
      </c>
      <c r="BA43" s="81">
        <f t="shared" si="45"/>
        <v>885</v>
      </c>
      <c r="BB43" s="81">
        <f t="shared" si="46"/>
        <v>1499</v>
      </c>
      <c r="BC43" s="81">
        <f t="shared" si="47"/>
        <v>2386</v>
      </c>
      <c r="BD43" s="81">
        <f t="shared" si="48"/>
        <v>3000</v>
      </c>
      <c r="BE43" s="76"/>
      <c r="BF43" s="81">
        <f t="shared" si="17"/>
        <v>446281</v>
      </c>
      <c r="BG43" s="81">
        <f t="shared" si="49"/>
        <v>447166</v>
      </c>
      <c r="BH43" s="81">
        <f t="shared" si="49"/>
        <v>447780</v>
      </c>
      <c r="BI43" s="81">
        <f t="shared" si="49"/>
        <v>448667</v>
      </c>
      <c r="BJ43" s="81">
        <f t="shared" si="49"/>
        <v>449281</v>
      </c>
      <c r="BL43" s="104">
        <v>40</v>
      </c>
      <c r="BM43" s="82">
        <f t="shared" si="26"/>
        <v>231.95</v>
      </c>
      <c r="BN43" s="82">
        <f t="shared" si="26"/>
        <v>232.41</v>
      </c>
      <c r="BO43" s="82">
        <f t="shared" si="26"/>
        <v>232.73</v>
      </c>
      <c r="BP43" s="82">
        <f t="shared" si="26"/>
        <v>233.19</v>
      </c>
      <c r="BQ43" s="82">
        <f t="shared" si="26"/>
        <v>233.51</v>
      </c>
      <c r="BS43" s="104">
        <v>40</v>
      </c>
      <c r="BT43" s="82">
        <f t="shared" si="50"/>
        <v>347.93217255717258</v>
      </c>
      <c r="BU43" s="82">
        <f t="shared" si="50"/>
        <v>348.62214137214136</v>
      </c>
      <c r="BV43" s="82">
        <f t="shared" si="50"/>
        <v>349.10083160083161</v>
      </c>
      <c r="BW43" s="82">
        <f t="shared" si="50"/>
        <v>349.79235966735968</v>
      </c>
      <c r="BX43" s="82">
        <f t="shared" si="50"/>
        <v>350.27104989604987</v>
      </c>
      <c r="BZ43" s="104">
        <v>40</v>
      </c>
      <c r="CA43" s="82">
        <f t="shared" si="51"/>
        <v>115.97739085239085</v>
      </c>
      <c r="CB43" s="82">
        <f t="shared" si="51"/>
        <v>116.20738045738045</v>
      </c>
      <c r="CC43" s="82">
        <f t="shared" si="51"/>
        <v>116.36694386694387</v>
      </c>
      <c r="CD43" s="82">
        <f t="shared" si="51"/>
        <v>116.59745322245323</v>
      </c>
      <c r="CE43" s="82">
        <f t="shared" si="51"/>
        <v>116.75701663201663</v>
      </c>
      <c r="CJ43" s="2"/>
      <c r="CK43" s="2"/>
      <c r="CL43" s="183">
        <v>40</v>
      </c>
      <c r="CM43" s="183">
        <f t="shared" si="23"/>
        <v>279247</v>
      </c>
      <c r="CN43" s="183">
        <v>40</v>
      </c>
      <c r="CO43" s="183">
        <v>279247</v>
      </c>
      <c r="CP43" s="183"/>
      <c r="CQ43" s="183"/>
      <c r="CR43" s="183"/>
      <c r="CS43" s="183"/>
    </row>
    <row r="44" spans="1:97" customFormat="1" ht="14.5" x14ac:dyDescent="0.35">
      <c r="A44">
        <v>41</v>
      </c>
      <c r="B44" s="217">
        <f t="shared" si="52"/>
        <v>37860.083333333336</v>
      </c>
      <c r="C44" s="217">
        <f t="shared" si="52"/>
        <v>37897.916666666664</v>
      </c>
      <c r="D44" s="217">
        <f t="shared" si="52"/>
        <v>37924.25</v>
      </c>
      <c r="E44" s="217">
        <f t="shared" si="52"/>
        <v>37962</v>
      </c>
      <c r="F44" s="217">
        <f t="shared" si="52"/>
        <v>37988.333333333336</v>
      </c>
      <c r="G44" s="175"/>
      <c r="H44" s="82"/>
      <c r="I44" s="82"/>
      <c r="J44" s="82"/>
      <c r="K44" s="82"/>
      <c r="L44" s="76">
        <v>41</v>
      </c>
      <c r="M44" s="229">
        <f t="shared" si="37"/>
        <v>37860.083333333336</v>
      </c>
      <c r="N44" s="229">
        <f t="shared" si="37"/>
        <v>37897.916666666664</v>
      </c>
      <c r="O44" s="229">
        <f t="shared" si="37"/>
        <v>37924.25</v>
      </c>
      <c r="P44" s="229">
        <f t="shared" si="37"/>
        <v>37962</v>
      </c>
      <c r="Q44" s="229">
        <f t="shared" si="37"/>
        <v>37988.333333333336</v>
      </c>
      <c r="S44" s="80">
        <f t="shared" si="38"/>
        <v>2012936.6666666667</v>
      </c>
      <c r="T44" s="80">
        <f t="shared" si="39"/>
        <v>1412620.8333333333</v>
      </c>
      <c r="U44" s="80">
        <f t="shared" si="40"/>
        <v>2008650.4166666667</v>
      </c>
      <c r="V44" s="80">
        <f t="shared" si="41"/>
        <v>1412684.9166666667</v>
      </c>
      <c r="X44" s="104">
        <v>41</v>
      </c>
      <c r="Y44" s="114">
        <v>284278</v>
      </c>
      <c r="Z44" s="115">
        <f t="shared" si="42"/>
        <v>284278</v>
      </c>
      <c r="AA44" s="116">
        <f t="shared" si="43"/>
        <v>454321</v>
      </c>
      <c r="AB44" s="114">
        <v>353</v>
      </c>
      <c r="AC44" s="115">
        <v>598</v>
      </c>
      <c r="AD44" s="115">
        <v>950</v>
      </c>
      <c r="AE44" s="116">
        <v>1195</v>
      </c>
      <c r="AF44" s="115"/>
      <c r="AG44" s="115">
        <v>284</v>
      </c>
      <c r="AH44" s="115">
        <v>482</v>
      </c>
      <c r="AI44" s="115">
        <v>765</v>
      </c>
      <c r="AJ44" s="115">
        <v>963</v>
      </c>
      <c r="AK44" s="115"/>
      <c r="AL44" s="115">
        <f t="shared" si="36"/>
        <v>454</v>
      </c>
      <c r="AM44" s="115">
        <f t="shared" si="36"/>
        <v>770</v>
      </c>
      <c r="AN44" s="115">
        <f t="shared" si="36"/>
        <v>1223</v>
      </c>
      <c r="AO44" s="115">
        <f t="shared" si="36"/>
        <v>1539</v>
      </c>
      <c r="AP44" s="115"/>
      <c r="AQ44" s="114">
        <f t="shared" si="9"/>
        <v>454321</v>
      </c>
      <c r="AR44" s="117">
        <f t="shared" si="44"/>
        <v>454775</v>
      </c>
      <c r="AS44" s="118">
        <f t="shared" si="44"/>
        <v>455091</v>
      </c>
      <c r="AT44" s="118">
        <f t="shared" si="44"/>
        <v>455544</v>
      </c>
      <c r="AU44" s="119">
        <f t="shared" si="44"/>
        <v>455860</v>
      </c>
      <c r="AW44" s="114">
        <v>284278</v>
      </c>
      <c r="AX44" s="118">
        <f t="shared" si="34"/>
        <v>170043.44420200004</v>
      </c>
      <c r="AY44" s="119">
        <f t="shared" si="35"/>
        <v>454321</v>
      </c>
      <c r="BA44" s="81">
        <f t="shared" si="45"/>
        <v>454</v>
      </c>
      <c r="BB44" s="81">
        <f t="shared" si="46"/>
        <v>770</v>
      </c>
      <c r="BC44" s="81">
        <f t="shared" si="47"/>
        <v>1223</v>
      </c>
      <c r="BD44" s="81">
        <f t="shared" si="48"/>
        <v>1539</v>
      </c>
      <c r="BE44" s="76"/>
      <c r="BF44" s="81">
        <f t="shared" si="17"/>
        <v>454321</v>
      </c>
      <c r="BG44" s="81">
        <f t="shared" si="49"/>
        <v>454775</v>
      </c>
      <c r="BH44" s="81">
        <f t="shared" si="49"/>
        <v>455091</v>
      </c>
      <c r="BI44" s="81">
        <f t="shared" si="49"/>
        <v>455544</v>
      </c>
      <c r="BJ44" s="81">
        <f t="shared" si="49"/>
        <v>455860</v>
      </c>
      <c r="BL44" s="104">
        <v>41</v>
      </c>
      <c r="BM44" s="82">
        <f t="shared" si="26"/>
        <v>236.13</v>
      </c>
      <c r="BN44" s="82">
        <f t="shared" si="26"/>
        <v>236.37</v>
      </c>
      <c r="BO44" s="82">
        <f t="shared" si="26"/>
        <v>236.53</v>
      </c>
      <c r="BP44" s="82">
        <f t="shared" si="26"/>
        <v>236.77</v>
      </c>
      <c r="BQ44" s="82">
        <f t="shared" si="26"/>
        <v>236.93</v>
      </c>
      <c r="BS44" s="104">
        <v>41</v>
      </c>
      <c r="BT44" s="82">
        <f t="shared" si="50"/>
        <v>354.20036382536381</v>
      </c>
      <c r="BU44" s="82">
        <f t="shared" si="50"/>
        <v>354.55431392931393</v>
      </c>
      <c r="BV44" s="82">
        <f t="shared" si="50"/>
        <v>354.80067567567568</v>
      </c>
      <c r="BW44" s="82">
        <f t="shared" si="50"/>
        <v>355.15384615384619</v>
      </c>
      <c r="BX44" s="82">
        <f t="shared" si="50"/>
        <v>355.40020790020787</v>
      </c>
      <c r="BZ44" s="104">
        <v>41</v>
      </c>
      <c r="CA44" s="82">
        <f t="shared" si="51"/>
        <v>118.06678794178794</v>
      </c>
      <c r="CB44" s="82">
        <f t="shared" si="51"/>
        <v>118.18477130977131</v>
      </c>
      <c r="CC44" s="82">
        <f t="shared" si="51"/>
        <v>118.26689189189189</v>
      </c>
      <c r="CD44" s="82">
        <f t="shared" si="51"/>
        <v>118.38461538461539</v>
      </c>
      <c r="CE44" s="82">
        <f t="shared" si="51"/>
        <v>118.46673596673597</v>
      </c>
      <c r="CJ44" s="2"/>
      <c r="CK44" s="2"/>
      <c r="CL44" s="183">
        <v>41</v>
      </c>
      <c r="CM44" s="183">
        <f t="shared" si="23"/>
        <v>284278</v>
      </c>
      <c r="CN44" s="183">
        <v>41</v>
      </c>
      <c r="CO44" s="183">
        <v>284278</v>
      </c>
      <c r="CP44" s="183"/>
      <c r="CQ44" s="183"/>
      <c r="CR44" s="183"/>
      <c r="CS44" s="183"/>
    </row>
    <row r="45" spans="1:97" customFormat="1" ht="14.5" x14ac:dyDescent="0.35">
      <c r="A45">
        <v>42</v>
      </c>
      <c r="B45" s="217">
        <f t="shared" si="52"/>
        <v>38544.666666666664</v>
      </c>
      <c r="C45" s="217">
        <f t="shared" si="52"/>
        <v>38544.666666666664</v>
      </c>
      <c r="D45" s="217">
        <f t="shared" si="52"/>
        <v>38544.666666666664</v>
      </c>
      <c r="E45" s="217">
        <f t="shared" si="52"/>
        <v>38544.666666666664</v>
      </c>
      <c r="F45" s="217">
        <f t="shared" si="52"/>
        <v>38544.666666666664</v>
      </c>
      <c r="G45" s="175"/>
      <c r="H45" s="82"/>
      <c r="I45" s="82"/>
      <c r="J45" s="82"/>
      <c r="K45" s="82"/>
      <c r="L45" s="76">
        <v>42</v>
      </c>
      <c r="M45" s="229">
        <f t="shared" si="37"/>
        <v>38544.666666666664</v>
      </c>
      <c r="N45" s="229">
        <f t="shared" si="37"/>
        <v>38544.666666666664</v>
      </c>
      <c r="O45" s="229">
        <f t="shared" si="37"/>
        <v>38544.666666666664</v>
      </c>
      <c r="P45" s="229">
        <f t="shared" si="37"/>
        <v>38544.666666666664</v>
      </c>
      <c r="Q45" s="229">
        <f t="shared" si="37"/>
        <v>38544.666666666664</v>
      </c>
      <c r="S45" s="80">
        <f t="shared" si="38"/>
        <v>38544.666666666664</v>
      </c>
      <c r="T45" s="80">
        <f t="shared" si="39"/>
        <v>38544.666666666664</v>
      </c>
      <c r="U45" s="80">
        <f t="shared" si="40"/>
        <v>38544.666666666664</v>
      </c>
      <c r="V45" s="80">
        <f t="shared" si="41"/>
        <v>38544.666666666664</v>
      </c>
      <c r="X45" s="104">
        <v>42</v>
      </c>
      <c r="Y45" s="114">
        <v>289418</v>
      </c>
      <c r="Z45" s="115">
        <f t="shared" si="42"/>
        <v>289418</v>
      </c>
      <c r="AA45" s="116">
        <f t="shared" si="43"/>
        <v>462536</v>
      </c>
      <c r="AB45" s="114">
        <v>0</v>
      </c>
      <c r="AC45" s="115">
        <v>0</v>
      </c>
      <c r="AD45" s="115">
        <v>0</v>
      </c>
      <c r="AE45" s="116">
        <v>0</v>
      </c>
      <c r="AF45" s="115"/>
      <c r="AG45" s="115"/>
      <c r="AH45" s="115"/>
      <c r="AI45" s="115"/>
      <c r="AJ45" s="115"/>
      <c r="AK45" s="115"/>
      <c r="AL45" s="115">
        <f t="shared" ref="AL45:AO59" si="53">ROUND(VLOOKUP($X45,$X:$AJ,(4+AL$2)+$AM$3,FALSE)*(1+$AL$3),0)</f>
        <v>0</v>
      </c>
      <c r="AM45" s="115">
        <f t="shared" si="53"/>
        <v>0</v>
      </c>
      <c r="AN45" s="115">
        <f t="shared" si="53"/>
        <v>0</v>
      </c>
      <c r="AO45" s="115">
        <f t="shared" si="53"/>
        <v>0</v>
      </c>
      <c r="AP45" s="115"/>
      <c r="AQ45" s="114">
        <f t="shared" si="9"/>
        <v>462536</v>
      </c>
      <c r="AR45" s="117">
        <f t="shared" si="44"/>
        <v>462536</v>
      </c>
      <c r="AS45" s="118">
        <f t="shared" si="44"/>
        <v>462536</v>
      </c>
      <c r="AT45" s="118">
        <f t="shared" si="44"/>
        <v>462536</v>
      </c>
      <c r="AU45" s="119">
        <f t="shared" si="44"/>
        <v>462536</v>
      </c>
      <c r="AW45" s="114">
        <v>289418</v>
      </c>
      <c r="AX45" s="118">
        <f t="shared" si="34"/>
        <v>173117.98146200003</v>
      </c>
      <c r="AY45" s="119">
        <f t="shared" si="35"/>
        <v>462536</v>
      </c>
      <c r="BA45" s="81">
        <f t="shared" si="45"/>
        <v>0</v>
      </c>
      <c r="BB45" s="81">
        <f t="shared" si="46"/>
        <v>0</v>
      </c>
      <c r="BC45" s="81">
        <f t="shared" si="47"/>
        <v>0</v>
      </c>
      <c r="BD45" s="81">
        <f t="shared" si="48"/>
        <v>0</v>
      </c>
      <c r="BE45" s="76"/>
      <c r="BF45" s="126">
        <f t="shared" si="17"/>
        <v>462536</v>
      </c>
      <c r="BG45" s="126">
        <f t="shared" si="49"/>
        <v>462536</v>
      </c>
      <c r="BH45" s="126">
        <f t="shared" si="49"/>
        <v>462536</v>
      </c>
      <c r="BI45" s="126">
        <f t="shared" si="49"/>
        <v>462536</v>
      </c>
      <c r="BJ45" s="126">
        <f t="shared" si="49"/>
        <v>462536</v>
      </c>
      <c r="BL45" s="104">
        <v>42</v>
      </c>
      <c r="BM45" s="82">
        <f t="shared" si="26"/>
        <v>240.4</v>
      </c>
      <c r="BN45" s="82">
        <f t="shared" si="26"/>
        <v>240.4</v>
      </c>
      <c r="BO45" s="82">
        <f t="shared" si="26"/>
        <v>240.4</v>
      </c>
      <c r="BP45" s="82">
        <f t="shared" si="26"/>
        <v>240.4</v>
      </c>
      <c r="BQ45" s="82">
        <f t="shared" si="26"/>
        <v>240.4</v>
      </c>
      <c r="BS45" s="104">
        <v>42</v>
      </c>
      <c r="BT45" s="82">
        <f t="shared" si="50"/>
        <v>360.60498960498961</v>
      </c>
      <c r="BU45" s="82">
        <f t="shared" si="50"/>
        <v>360.60498960498961</v>
      </c>
      <c r="BV45" s="82">
        <f t="shared" si="50"/>
        <v>360.60498960498961</v>
      </c>
      <c r="BW45" s="82">
        <f t="shared" si="50"/>
        <v>360.60498960498961</v>
      </c>
      <c r="BX45" s="82">
        <f t="shared" si="50"/>
        <v>360.60498960498961</v>
      </c>
      <c r="BZ45" s="104">
        <v>42</v>
      </c>
      <c r="CA45" s="82">
        <f t="shared" si="51"/>
        <v>120.20166320166321</v>
      </c>
      <c r="CB45" s="82">
        <f t="shared" si="51"/>
        <v>120.20166320166321</v>
      </c>
      <c r="CC45" s="82">
        <f t="shared" si="51"/>
        <v>120.20166320166321</v>
      </c>
      <c r="CD45" s="82">
        <f t="shared" si="51"/>
        <v>120.20166320166321</v>
      </c>
      <c r="CE45" s="82">
        <f t="shared" si="51"/>
        <v>120.20166320166321</v>
      </c>
      <c r="CJ45" s="2"/>
      <c r="CK45" s="2"/>
      <c r="CL45" s="183">
        <v>42</v>
      </c>
      <c r="CM45" s="183">
        <f t="shared" si="23"/>
        <v>289418</v>
      </c>
      <c r="CN45" s="183">
        <v>42</v>
      </c>
      <c r="CO45" s="183">
        <v>289418</v>
      </c>
      <c r="CP45" s="183"/>
      <c r="CQ45" s="183"/>
      <c r="CR45" s="183"/>
      <c r="CS45" s="183"/>
    </row>
    <row r="46" spans="1:97" customFormat="1" ht="14.5" x14ac:dyDescent="0.35">
      <c r="A46">
        <v>43</v>
      </c>
      <c r="B46" s="217">
        <f t="shared" si="52"/>
        <v>39401.25</v>
      </c>
      <c r="C46" s="217">
        <f t="shared" si="52"/>
        <v>39401.25</v>
      </c>
      <c r="D46" s="217">
        <f t="shared" si="52"/>
        <v>39401.25</v>
      </c>
      <c r="E46" s="217">
        <f t="shared" si="52"/>
        <v>39401.25</v>
      </c>
      <c r="F46" s="217">
        <f t="shared" si="52"/>
        <v>39401.25</v>
      </c>
      <c r="G46" s="175"/>
      <c r="H46" s="82"/>
      <c r="I46" s="82"/>
      <c r="J46" s="82"/>
      <c r="K46" s="82"/>
      <c r="L46" s="76">
        <v>43</v>
      </c>
      <c r="M46" s="229">
        <f t="shared" si="37"/>
        <v>39401.25</v>
      </c>
      <c r="N46" s="229">
        <f t="shared" si="37"/>
        <v>39401.25</v>
      </c>
      <c r="O46" s="229">
        <f t="shared" si="37"/>
        <v>39401.25</v>
      </c>
      <c r="P46" s="229">
        <f t="shared" si="37"/>
        <v>39401.25</v>
      </c>
      <c r="Q46" s="229">
        <f t="shared" si="37"/>
        <v>39401.25</v>
      </c>
      <c r="S46" s="80">
        <f t="shared" si="38"/>
        <v>39401.25</v>
      </c>
      <c r="T46" s="80">
        <f t="shared" si="39"/>
        <v>39401.25</v>
      </c>
      <c r="U46" s="80">
        <f t="shared" si="40"/>
        <v>39401.25</v>
      </c>
      <c r="V46" s="80">
        <f t="shared" si="41"/>
        <v>39401.25</v>
      </c>
      <c r="X46" s="104">
        <v>43</v>
      </c>
      <c r="Y46" s="114">
        <v>295850</v>
      </c>
      <c r="Z46" s="115">
        <f t="shared" si="42"/>
        <v>295850</v>
      </c>
      <c r="AA46" s="116">
        <f t="shared" si="43"/>
        <v>472815</v>
      </c>
      <c r="AB46" s="114">
        <v>0</v>
      </c>
      <c r="AC46" s="115">
        <v>0</v>
      </c>
      <c r="AD46" s="115">
        <v>0</v>
      </c>
      <c r="AE46" s="116">
        <v>0</v>
      </c>
      <c r="AF46" s="115"/>
      <c r="AG46" s="115"/>
      <c r="AH46" s="115"/>
      <c r="AI46" s="115"/>
      <c r="AJ46" s="115"/>
      <c r="AK46" s="115"/>
      <c r="AL46" s="115">
        <f t="shared" si="53"/>
        <v>0</v>
      </c>
      <c r="AM46" s="115">
        <f t="shared" si="53"/>
        <v>0</v>
      </c>
      <c r="AN46" s="115">
        <f t="shared" si="53"/>
        <v>0</v>
      </c>
      <c r="AO46" s="115">
        <f t="shared" si="53"/>
        <v>0</v>
      </c>
      <c r="AP46" s="115"/>
      <c r="AQ46" s="114">
        <f t="shared" si="9"/>
        <v>472815</v>
      </c>
      <c r="AR46" s="117">
        <f t="shared" si="44"/>
        <v>472815</v>
      </c>
      <c r="AS46" s="118">
        <f t="shared" si="44"/>
        <v>472815</v>
      </c>
      <c r="AT46" s="118">
        <f t="shared" si="44"/>
        <v>472815</v>
      </c>
      <c r="AU46" s="119">
        <f t="shared" si="44"/>
        <v>472815</v>
      </c>
      <c r="AW46" s="114">
        <v>295850</v>
      </c>
      <c r="AX46" s="118">
        <f t="shared" si="34"/>
        <v>176965.34015000003</v>
      </c>
      <c r="AY46" s="119">
        <f t="shared" si="35"/>
        <v>472815</v>
      </c>
      <c r="BA46" s="81">
        <f t="shared" si="45"/>
        <v>0</v>
      </c>
      <c r="BB46" s="81">
        <f t="shared" si="46"/>
        <v>0</v>
      </c>
      <c r="BC46" s="81">
        <f t="shared" si="47"/>
        <v>0</v>
      </c>
      <c r="BD46" s="81">
        <f t="shared" si="48"/>
        <v>0</v>
      </c>
      <c r="BE46" s="76"/>
      <c r="BF46" s="126">
        <f t="shared" si="17"/>
        <v>472815</v>
      </c>
      <c r="BG46" s="126">
        <f t="shared" si="49"/>
        <v>472815</v>
      </c>
      <c r="BH46" s="126">
        <f t="shared" si="49"/>
        <v>472815</v>
      </c>
      <c r="BI46" s="126">
        <f t="shared" si="49"/>
        <v>472815</v>
      </c>
      <c r="BJ46" s="126">
        <f t="shared" si="49"/>
        <v>472815</v>
      </c>
      <c r="BL46" s="104">
        <v>43</v>
      </c>
      <c r="BM46" s="82">
        <f t="shared" si="26"/>
        <v>245.75</v>
      </c>
      <c r="BN46" s="82">
        <f t="shared" si="26"/>
        <v>245.75</v>
      </c>
      <c r="BO46" s="82">
        <f t="shared" si="26"/>
        <v>245.75</v>
      </c>
      <c r="BP46" s="82">
        <f t="shared" si="26"/>
        <v>245.75</v>
      </c>
      <c r="BQ46" s="82">
        <f t="shared" si="26"/>
        <v>245.75</v>
      </c>
      <c r="BS46" s="104">
        <v>43</v>
      </c>
      <c r="BT46" s="82">
        <f t="shared" si="50"/>
        <v>368.61876299376297</v>
      </c>
      <c r="BU46" s="82">
        <f t="shared" si="50"/>
        <v>368.61876299376297</v>
      </c>
      <c r="BV46" s="82">
        <f t="shared" si="50"/>
        <v>368.61876299376297</v>
      </c>
      <c r="BW46" s="82">
        <f t="shared" si="50"/>
        <v>368.61876299376297</v>
      </c>
      <c r="BX46" s="82">
        <f t="shared" si="50"/>
        <v>368.61876299376297</v>
      </c>
      <c r="BZ46" s="104">
        <v>43</v>
      </c>
      <c r="CA46" s="82">
        <f t="shared" si="51"/>
        <v>122.872920997921</v>
      </c>
      <c r="CB46" s="82">
        <f t="shared" si="51"/>
        <v>122.872920997921</v>
      </c>
      <c r="CC46" s="82">
        <f t="shared" si="51"/>
        <v>122.872920997921</v>
      </c>
      <c r="CD46" s="82">
        <f t="shared" si="51"/>
        <v>122.872920997921</v>
      </c>
      <c r="CE46" s="82">
        <f t="shared" si="51"/>
        <v>122.872920997921</v>
      </c>
      <c r="CJ46" s="2"/>
      <c r="CK46" s="2"/>
      <c r="CL46" s="183">
        <v>43</v>
      </c>
      <c r="CM46" s="183">
        <f t="shared" si="23"/>
        <v>295850</v>
      </c>
      <c r="CN46" s="183">
        <v>43</v>
      </c>
      <c r="CO46" s="183">
        <v>295850</v>
      </c>
      <c r="CP46" s="183"/>
      <c r="CQ46" s="183"/>
      <c r="CR46" s="183"/>
      <c r="CS46" s="183"/>
    </row>
    <row r="47" spans="1:97" customFormat="1" ht="14.5" x14ac:dyDescent="0.35">
      <c r="A47">
        <v>44</v>
      </c>
      <c r="B47" s="217">
        <f t="shared" si="52"/>
        <v>40281.583333333336</v>
      </c>
      <c r="C47" s="217">
        <f t="shared" si="52"/>
        <v>40281.583333333336</v>
      </c>
      <c r="D47" s="217">
        <f t="shared" si="52"/>
        <v>40281.583333333336</v>
      </c>
      <c r="E47" s="217">
        <f t="shared" si="52"/>
        <v>40281.583333333336</v>
      </c>
      <c r="F47" s="217">
        <f t="shared" si="52"/>
        <v>40281.583333333336</v>
      </c>
      <c r="G47" s="175"/>
      <c r="H47" s="82"/>
      <c r="I47" s="82"/>
      <c r="J47" s="82"/>
      <c r="K47" s="82"/>
      <c r="L47" s="76">
        <v>44</v>
      </c>
      <c r="M47" s="229">
        <f t="shared" si="37"/>
        <v>40281.583333333336</v>
      </c>
      <c r="N47" s="229">
        <f t="shared" si="37"/>
        <v>40281.583333333336</v>
      </c>
      <c r="O47" s="229">
        <f t="shared" si="37"/>
        <v>40281.583333333336</v>
      </c>
      <c r="P47" s="229">
        <f t="shared" si="37"/>
        <v>40281.583333333336</v>
      </c>
      <c r="Q47" s="229">
        <f t="shared" si="37"/>
        <v>40281.583333333336</v>
      </c>
      <c r="S47" s="80">
        <f t="shared" si="38"/>
        <v>40281.583333333336</v>
      </c>
      <c r="T47" s="80">
        <f t="shared" si="39"/>
        <v>40281.583333333336</v>
      </c>
      <c r="U47" s="80">
        <f t="shared" si="40"/>
        <v>40281.583333333336</v>
      </c>
      <c r="V47" s="80">
        <f t="shared" si="41"/>
        <v>40281.583333333336</v>
      </c>
      <c r="X47" s="104">
        <v>44</v>
      </c>
      <c r="Y47" s="114">
        <v>302460</v>
      </c>
      <c r="Z47" s="115">
        <f t="shared" si="42"/>
        <v>302460</v>
      </c>
      <c r="AA47" s="116">
        <f t="shared" si="43"/>
        <v>483379</v>
      </c>
      <c r="AB47" s="114">
        <v>0</v>
      </c>
      <c r="AC47" s="115">
        <v>0</v>
      </c>
      <c r="AD47" s="115">
        <v>0</v>
      </c>
      <c r="AE47" s="116">
        <v>0</v>
      </c>
      <c r="AF47" s="115"/>
      <c r="AG47" s="115"/>
      <c r="AH47" s="115"/>
      <c r="AI47" s="115"/>
      <c r="AJ47" s="115"/>
      <c r="AK47" s="115"/>
      <c r="AL47" s="115">
        <f t="shared" si="53"/>
        <v>0</v>
      </c>
      <c r="AM47" s="115">
        <f t="shared" si="53"/>
        <v>0</v>
      </c>
      <c r="AN47" s="115">
        <f t="shared" si="53"/>
        <v>0</v>
      </c>
      <c r="AO47" s="115">
        <f t="shared" si="53"/>
        <v>0</v>
      </c>
      <c r="AP47" s="115"/>
      <c r="AQ47" s="114">
        <f t="shared" si="9"/>
        <v>483379</v>
      </c>
      <c r="AR47" s="117">
        <f t="shared" si="44"/>
        <v>483379</v>
      </c>
      <c r="AS47" s="118">
        <f t="shared" si="44"/>
        <v>483379</v>
      </c>
      <c r="AT47" s="118">
        <f t="shared" si="44"/>
        <v>483379</v>
      </c>
      <c r="AU47" s="119">
        <f t="shared" si="44"/>
        <v>483379</v>
      </c>
      <c r="AW47" s="114">
        <v>302460</v>
      </c>
      <c r="AX47" s="118">
        <f t="shared" si="34"/>
        <v>180919.17114000002</v>
      </c>
      <c r="AY47" s="119">
        <f t="shared" si="35"/>
        <v>483379</v>
      </c>
      <c r="BA47" s="81">
        <f t="shared" si="45"/>
        <v>0</v>
      </c>
      <c r="BB47" s="81">
        <f t="shared" si="46"/>
        <v>0</v>
      </c>
      <c r="BC47" s="81">
        <f t="shared" si="47"/>
        <v>0</v>
      </c>
      <c r="BD47" s="81">
        <f t="shared" si="48"/>
        <v>0</v>
      </c>
      <c r="BE47" s="76"/>
      <c r="BF47" s="126">
        <f t="shared" si="17"/>
        <v>483379</v>
      </c>
      <c r="BG47" s="126">
        <f t="shared" si="49"/>
        <v>483379</v>
      </c>
      <c r="BH47" s="126">
        <f t="shared" si="49"/>
        <v>483379</v>
      </c>
      <c r="BI47" s="126">
        <f t="shared" si="49"/>
        <v>483379</v>
      </c>
      <c r="BJ47" s="126">
        <f t="shared" si="49"/>
        <v>483379</v>
      </c>
      <c r="BL47" s="104">
        <v>44</v>
      </c>
      <c r="BM47" s="82">
        <f t="shared" si="26"/>
        <v>251.24</v>
      </c>
      <c r="BN47" s="82">
        <f t="shared" si="26"/>
        <v>251.24</v>
      </c>
      <c r="BO47" s="82">
        <f t="shared" si="26"/>
        <v>251.24</v>
      </c>
      <c r="BP47" s="82">
        <f t="shared" si="26"/>
        <v>251.24</v>
      </c>
      <c r="BQ47" s="82">
        <f t="shared" si="26"/>
        <v>251.24</v>
      </c>
      <c r="BS47" s="104">
        <v>44</v>
      </c>
      <c r="BT47" s="82">
        <f t="shared" si="50"/>
        <v>376.85472972972974</v>
      </c>
      <c r="BU47" s="82">
        <f t="shared" si="50"/>
        <v>376.85472972972974</v>
      </c>
      <c r="BV47" s="82">
        <f t="shared" si="50"/>
        <v>376.85472972972974</v>
      </c>
      <c r="BW47" s="82">
        <f t="shared" si="50"/>
        <v>376.85472972972974</v>
      </c>
      <c r="BX47" s="82">
        <f t="shared" si="50"/>
        <v>376.85472972972974</v>
      </c>
      <c r="BZ47" s="104">
        <v>44</v>
      </c>
      <c r="CA47" s="82">
        <f t="shared" si="51"/>
        <v>125.61824324324324</v>
      </c>
      <c r="CB47" s="82">
        <f t="shared" si="51"/>
        <v>125.61824324324324</v>
      </c>
      <c r="CC47" s="82">
        <f t="shared" si="51"/>
        <v>125.61824324324324</v>
      </c>
      <c r="CD47" s="82">
        <f t="shared" si="51"/>
        <v>125.61824324324324</v>
      </c>
      <c r="CE47" s="82">
        <f t="shared" si="51"/>
        <v>125.61824324324324</v>
      </c>
      <c r="CJ47" s="2"/>
      <c r="CK47" s="2"/>
      <c r="CL47" s="183">
        <v>44</v>
      </c>
      <c r="CM47" s="183">
        <f t="shared" si="23"/>
        <v>302460</v>
      </c>
      <c r="CN47" s="183">
        <v>44</v>
      </c>
      <c r="CO47" s="183">
        <v>302460</v>
      </c>
      <c r="CP47" s="183"/>
      <c r="CQ47" s="183"/>
      <c r="CR47" s="183"/>
      <c r="CS47" s="183"/>
    </row>
    <row r="48" spans="1:97" customFormat="1" ht="14.5" x14ac:dyDescent="0.35">
      <c r="A48">
        <v>45</v>
      </c>
      <c r="B48" s="217">
        <f t="shared" si="52"/>
        <v>41186</v>
      </c>
      <c r="C48" s="217">
        <f t="shared" si="52"/>
        <v>41186</v>
      </c>
      <c r="D48" s="217">
        <f t="shared" si="52"/>
        <v>41186</v>
      </c>
      <c r="E48" s="217">
        <f t="shared" si="52"/>
        <v>41186</v>
      </c>
      <c r="F48" s="217">
        <f t="shared" si="52"/>
        <v>41186</v>
      </c>
      <c r="G48" s="175"/>
      <c r="H48" s="82"/>
      <c r="I48" s="82"/>
      <c r="J48" s="82"/>
      <c r="K48" s="82"/>
      <c r="L48" s="76">
        <v>45</v>
      </c>
      <c r="M48" s="229">
        <f t="shared" si="37"/>
        <v>41186</v>
      </c>
      <c r="N48" s="229">
        <f t="shared" si="37"/>
        <v>41186</v>
      </c>
      <c r="O48" s="229">
        <f t="shared" si="37"/>
        <v>41186</v>
      </c>
      <c r="P48" s="229">
        <f t="shared" si="37"/>
        <v>41186</v>
      </c>
      <c r="Q48" s="229">
        <f t="shared" si="37"/>
        <v>41186</v>
      </c>
      <c r="S48" s="80">
        <f t="shared" si="38"/>
        <v>41186</v>
      </c>
      <c r="T48" s="80">
        <f t="shared" si="39"/>
        <v>41186</v>
      </c>
      <c r="U48" s="80">
        <f t="shared" si="40"/>
        <v>41186</v>
      </c>
      <c r="V48" s="80">
        <f t="shared" si="41"/>
        <v>41186</v>
      </c>
      <c r="X48" s="104">
        <v>45</v>
      </c>
      <c r="Y48" s="120">
        <v>309251</v>
      </c>
      <c r="Z48" s="121">
        <f t="shared" si="42"/>
        <v>309251</v>
      </c>
      <c r="AA48" s="122">
        <f t="shared" si="43"/>
        <v>494232</v>
      </c>
      <c r="AB48" s="120">
        <v>0</v>
      </c>
      <c r="AC48" s="121">
        <v>0</v>
      </c>
      <c r="AD48" s="121">
        <v>0</v>
      </c>
      <c r="AE48" s="122">
        <v>0</v>
      </c>
      <c r="AF48" s="121"/>
      <c r="AG48" s="121"/>
      <c r="AH48" s="121"/>
      <c r="AI48" s="121"/>
      <c r="AJ48" s="121"/>
      <c r="AK48" s="121"/>
      <c r="AL48" s="121">
        <f t="shared" si="53"/>
        <v>0</v>
      </c>
      <c r="AM48" s="121">
        <f t="shared" si="53"/>
        <v>0</v>
      </c>
      <c r="AN48" s="121">
        <f t="shared" si="53"/>
        <v>0</v>
      </c>
      <c r="AO48" s="121">
        <f t="shared" si="53"/>
        <v>0</v>
      </c>
      <c r="AP48" s="121"/>
      <c r="AQ48" s="120">
        <f t="shared" si="9"/>
        <v>494232</v>
      </c>
      <c r="AR48" s="123">
        <f t="shared" si="44"/>
        <v>494232</v>
      </c>
      <c r="AS48" s="124">
        <f t="shared" si="44"/>
        <v>494232</v>
      </c>
      <c r="AT48" s="124">
        <f t="shared" si="44"/>
        <v>494232</v>
      </c>
      <c r="AU48" s="125">
        <f t="shared" si="44"/>
        <v>494232</v>
      </c>
      <c r="AW48" s="120">
        <v>309251</v>
      </c>
      <c r="AX48" s="124">
        <f t="shared" si="34"/>
        <v>184981.26890900003</v>
      </c>
      <c r="AY48" s="125">
        <f t="shared" si="35"/>
        <v>494232</v>
      </c>
      <c r="BA48" s="81">
        <f t="shared" si="45"/>
        <v>0</v>
      </c>
      <c r="BB48" s="81">
        <f t="shared" si="46"/>
        <v>0</v>
      </c>
      <c r="BC48" s="81">
        <f t="shared" si="47"/>
        <v>0</v>
      </c>
      <c r="BD48" s="81">
        <f t="shared" si="48"/>
        <v>0</v>
      </c>
      <c r="BE48" s="76"/>
      <c r="BF48" s="126">
        <f t="shared" si="17"/>
        <v>494232</v>
      </c>
      <c r="BG48" s="126">
        <f t="shared" si="49"/>
        <v>494232</v>
      </c>
      <c r="BH48" s="126">
        <f t="shared" si="49"/>
        <v>494232</v>
      </c>
      <c r="BI48" s="126">
        <f t="shared" si="49"/>
        <v>494232</v>
      </c>
      <c r="BJ48" s="126">
        <f t="shared" si="49"/>
        <v>494232</v>
      </c>
      <c r="BL48" s="104">
        <v>45</v>
      </c>
      <c r="BM48" s="82">
        <f t="shared" si="26"/>
        <v>256.88</v>
      </c>
      <c r="BN48" s="82">
        <f t="shared" si="26"/>
        <v>256.88</v>
      </c>
      <c r="BO48" s="82">
        <f t="shared" si="26"/>
        <v>256.88</v>
      </c>
      <c r="BP48" s="82">
        <f t="shared" si="26"/>
        <v>256.88</v>
      </c>
      <c r="BQ48" s="82">
        <f t="shared" si="26"/>
        <v>256.88</v>
      </c>
      <c r="BS48" s="104">
        <v>45</v>
      </c>
      <c r="BT48" s="82">
        <f t="shared" si="50"/>
        <v>385.31600831600838</v>
      </c>
      <c r="BU48" s="82">
        <f t="shared" si="50"/>
        <v>385.31600831600838</v>
      </c>
      <c r="BV48" s="82">
        <f t="shared" si="50"/>
        <v>385.31600831600838</v>
      </c>
      <c r="BW48" s="82">
        <f t="shared" si="50"/>
        <v>385.31600831600838</v>
      </c>
      <c r="BX48" s="82">
        <f t="shared" si="50"/>
        <v>385.31600831600838</v>
      </c>
      <c r="BZ48" s="104">
        <v>45</v>
      </c>
      <c r="CA48" s="82">
        <f t="shared" si="51"/>
        <v>128.43866943866945</v>
      </c>
      <c r="CB48" s="82">
        <f t="shared" si="51"/>
        <v>128.43866943866945</v>
      </c>
      <c r="CC48" s="82">
        <f t="shared" si="51"/>
        <v>128.43866943866945</v>
      </c>
      <c r="CD48" s="82">
        <f t="shared" si="51"/>
        <v>128.43866943866945</v>
      </c>
      <c r="CE48" s="82">
        <f t="shared" si="51"/>
        <v>128.43866943866945</v>
      </c>
      <c r="CJ48" s="2"/>
      <c r="CK48" s="2"/>
      <c r="CL48" s="183">
        <v>45</v>
      </c>
      <c r="CM48" s="183">
        <f t="shared" si="23"/>
        <v>309251</v>
      </c>
      <c r="CN48" s="183">
        <v>45</v>
      </c>
      <c r="CO48" s="183">
        <v>309251</v>
      </c>
      <c r="CP48" s="183"/>
      <c r="CQ48" s="183"/>
      <c r="CR48" s="183"/>
      <c r="CS48" s="183"/>
    </row>
    <row r="49" spans="1:97" customFormat="1" ht="14.5" x14ac:dyDescent="0.35">
      <c r="A49">
        <v>46</v>
      </c>
      <c r="B49" s="217">
        <f t="shared" si="52"/>
        <v>42115.333333333336</v>
      </c>
      <c r="C49" s="217">
        <f t="shared" si="52"/>
        <v>42115.333333333336</v>
      </c>
      <c r="D49" s="217">
        <f t="shared" si="52"/>
        <v>42115.333333333336</v>
      </c>
      <c r="E49" s="217">
        <f t="shared" si="52"/>
        <v>42115.333333333336</v>
      </c>
      <c r="F49" s="217">
        <f t="shared" si="52"/>
        <v>42115.333333333336</v>
      </c>
      <c r="G49" s="175"/>
      <c r="H49" s="82"/>
      <c r="I49" s="82"/>
      <c r="J49" s="82"/>
      <c r="K49" s="82"/>
      <c r="L49" s="76">
        <v>46</v>
      </c>
      <c r="M49" s="229">
        <f t="shared" si="37"/>
        <v>42115.333333333336</v>
      </c>
      <c r="N49" s="229">
        <f t="shared" si="37"/>
        <v>42115.333333333336</v>
      </c>
      <c r="O49" s="229">
        <f t="shared" si="37"/>
        <v>42115.333333333336</v>
      </c>
      <c r="P49" s="229">
        <f t="shared" si="37"/>
        <v>42115.333333333336</v>
      </c>
      <c r="Q49" s="229">
        <f t="shared" si="37"/>
        <v>42115.333333333336</v>
      </c>
      <c r="S49" s="80">
        <f t="shared" si="38"/>
        <v>42115.333333333336</v>
      </c>
      <c r="T49" s="80">
        <f t="shared" si="39"/>
        <v>42115.333333333336</v>
      </c>
      <c r="U49" s="80">
        <f t="shared" si="40"/>
        <v>42115.333333333336</v>
      </c>
      <c r="V49" s="80">
        <f t="shared" si="41"/>
        <v>42115.333333333336</v>
      </c>
      <c r="X49" s="104">
        <v>46</v>
      </c>
      <c r="Y49" s="114">
        <v>316229</v>
      </c>
      <c r="Z49" s="115">
        <f t="shared" si="42"/>
        <v>316229</v>
      </c>
      <c r="AA49" s="116">
        <f t="shared" si="43"/>
        <v>505384</v>
      </c>
      <c r="AB49" s="114">
        <v>0</v>
      </c>
      <c r="AC49" s="115">
        <v>0</v>
      </c>
      <c r="AD49" s="115">
        <v>0</v>
      </c>
      <c r="AE49" s="116">
        <v>0</v>
      </c>
      <c r="AF49" s="115"/>
      <c r="AG49" s="115"/>
      <c r="AH49" s="115"/>
      <c r="AI49" s="115"/>
      <c r="AJ49" s="115"/>
      <c r="AK49" s="115"/>
      <c r="AL49" s="115">
        <f t="shared" si="53"/>
        <v>0</v>
      </c>
      <c r="AM49" s="115">
        <f t="shared" si="53"/>
        <v>0</v>
      </c>
      <c r="AN49" s="115">
        <f t="shared" si="53"/>
        <v>0</v>
      </c>
      <c r="AO49" s="115">
        <f t="shared" si="53"/>
        <v>0</v>
      </c>
      <c r="AP49" s="115"/>
      <c r="AQ49" s="114">
        <f t="shared" si="9"/>
        <v>505384</v>
      </c>
      <c r="AR49" s="117">
        <f t="shared" si="44"/>
        <v>505384</v>
      </c>
      <c r="AS49" s="118">
        <f t="shared" si="44"/>
        <v>505384</v>
      </c>
      <c r="AT49" s="118">
        <f t="shared" si="44"/>
        <v>505384</v>
      </c>
      <c r="AU49" s="119">
        <f t="shared" si="44"/>
        <v>505384</v>
      </c>
      <c r="AW49" s="114">
        <v>316229</v>
      </c>
      <c r="AX49" s="118">
        <f t="shared" si="34"/>
        <v>189155.22241100002</v>
      </c>
      <c r="AY49" s="119">
        <f t="shared" si="35"/>
        <v>505384</v>
      </c>
      <c r="BA49" s="81">
        <f t="shared" si="45"/>
        <v>0</v>
      </c>
      <c r="BB49" s="81">
        <f t="shared" si="46"/>
        <v>0</v>
      </c>
      <c r="BC49" s="81">
        <f t="shared" si="47"/>
        <v>0</v>
      </c>
      <c r="BD49" s="81">
        <f t="shared" si="48"/>
        <v>0</v>
      </c>
      <c r="BE49" s="76"/>
      <c r="BF49" s="126">
        <f t="shared" si="17"/>
        <v>505384</v>
      </c>
      <c r="BG49" s="126">
        <f t="shared" si="49"/>
        <v>505384</v>
      </c>
      <c r="BH49" s="126">
        <f t="shared" si="49"/>
        <v>505384</v>
      </c>
      <c r="BI49" s="126">
        <f t="shared" si="49"/>
        <v>505384</v>
      </c>
      <c r="BJ49" s="126">
        <f t="shared" si="49"/>
        <v>505384</v>
      </c>
      <c r="BL49" s="104">
        <v>46</v>
      </c>
      <c r="BM49" s="82">
        <f t="shared" si="26"/>
        <v>262.67</v>
      </c>
      <c r="BN49" s="82">
        <f t="shared" si="26"/>
        <v>262.67</v>
      </c>
      <c r="BO49" s="82">
        <f t="shared" si="26"/>
        <v>262.67</v>
      </c>
      <c r="BP49" s="82">
        <f t="shared" si="26"/>
        <v>262.67</v>
      </c>
      <c r="BQ49" s="82">
        <f t="shared" si="26"/>
        <v>262.67</v>
      </c>
      <c r="BS49" s="104">
        <v>46</v>
      </c>
      <c r="BT49" s="82">
        <f t="shared" si="50"/>
        <v>394.01039501039497</v>
      </c>
      <c r="BU49" s="82">
        <f t="shared" si="50"/>
        <v>394.01039501039497</v>
      </c>
      <c r="BV49" s="82">
        <f t="shared" si="50"/>
        <v>394.01039501039497</v>
      </c>
      <c r="BW49" s="82">
        <f t="shared" si="50"/>
        <v>394.01039501039497</v>
      </c>
      <c r="BX49" s="82">
        <f t="shared" si="50"/>
        <v>394.01039501039497</v>
      </c>
      <c r="BZ49" s="104">
        <v>46</v>
      </c>
      <c r="CA49" s="82">
        <f t="shared" si="51"/>
        <v>131.33679833679832</v>
      </c>
      <c r="CB49" s="82">
        <f t="shared" si="51"/>
        <v>131.33679833679832</v>
      </c>
      <c r="CC49" s="82">
        <f t="shared" si="51"/>
        <v>131.33679833679832</v>
      </c>
      <c r="CD49" s="82">
        <f t="shared" si="51"/>
        <v>131.33679833679832</v>
      </c>
      <c r="CE49" s="82">
        <f t="shared" si="51"/>
        <v>131.33679833679832</v>
      </c>
      <c r="CJ49" s="2"/>
      <c r="CK49" s="2"/>
      <c r="CL49" s="183">
        <v>46</v>
      </c>
      <c r="CM49" s="183">
        <f t="shared" si="23"/>
        <v>316229</v>
      </c>
      <c r="CN49" s="183">
        <v>46</v>
      </c>
      <c r="CO49" s="183">
        <v>316229</v>
      </c>
      <c r="CP49" s="183"/>
      <c r="CQ49" s="183"/>
      <c r="CR49" s="183"/>
      <c r="CS49" s="183"/>
    </row>
    <row r="50" spans="1:97" customFormat="1" ht="14.5" x14ac:dyDescent="0.35">
      <c r="A50">
        <v>47</v>
      </c>
      <c r="B50" s="217">
        <f t="shared" si="52"/>
        <v>42865</v>
      </c>
      <c r="C50" s="217">
        <f t="shared" si="52"/>
        <v>42865</v>
      </c>
      <c r="D50" s="217">
        <f t="shared" si="52"/>
        <v>42865</v>
      </c>
      <c r="E50" s="217">
        <f t="shared" si="52"/>
        <v>42865</v>
      </c>
      <c r="F50" s="217">
        <f t="shared" si="52"/>
        <v>42865</v>
      </c>
      <c r="G50" s="175"/>
      <c r="H50" s="82"/>
      <c r="I50" s="82"/>
      <c r="J50" s="82"/>
      <c r="K50" s="82"/>
      <c r="L50" s="76">
        <v>47</v>
      </c>
      <c r="M50" s="229">
        <f t="shared" si="37"/>
        <v>42865</v>
      </c>
      <c r="N50" s="229">
        <f t="shared" si="37"/>
        <v>42865</v>
      </c>
      <c r="O50" s="229">
        <f t="shared" si="37"/>
        <v>42865</v>
      </c>
      <c r="P50" s="229">
        <f t="shared" si="37"/>
        <v>42865</v>
      </c>
      <c r="Q50" s="229">
        <f t="shared" si="37"/>
        <v>42865</v>
      </c>
      <c r="S50" s="80">
        <f t="shared" si="38"/>
        <v>42865</v>
      </c>
      <c r="T50" s="80">
        <f t="shared" si="39"/>
        <v>42865</v>
      </c>
      <c r="U50" s="80">
        <f t="shared" si="40"/>
        <v>42865</v>
      </c>
      <c r="V50" s="80">
        <f t="shared" si="41"/>
        <v>42865</v>
      </c>
      <c r="X50" s="104">
        <v>47</v>
      </c>
      <c r="Y50" s="114">
        <v>321858</v>
      </c>
      <c r="Z50" s="115">
        <f t="shared" si="42"/>
        <v>321858</v>
      </c>
      <c r="AA50" s="116">
        <f t="shared" si="43"/>
        <v>514380</v>
      </c>
      <c r="AB50" s="114">
        <v>0</v>
      </c>
      <c r="AC50" s="115">
        <v>0</v>
      </c>
      <c r="AD50" s="115">
        <v>0</v>
      </c>
      <c r="AE50" s="116">
        <v>0</v>
      </c>
      <c r="AF50" s="115"/>
      <c r="AG50" s="115"/>
      <c r="AH50" s="115"/>
      <c r="AI50" s="115"/>
      <c r="AJ50" s="115"/>
      <c r="AK50" s="115"/>
      <c r="AL50" s="115">
        <f t="shared" si="53"/>
        <v>0</v>
      </c>
      <c r="AM50" s="115">
        <f t="shared" si="53"/>
        <v>0</v>
      </c>
      <c r="AN50" s="115">
        <f t="shared" si="53"/>
        <v>0</v>
      </c>
      <c r="AO50" s="115">
        <f t="shared" si="53"/>
        <v>0</v>
      </c>
      <c r="AP50" s="115"/>
      <c r="AQ50" s="114">
        <f t="shared" si="9"/>
        <v>514380</v>
      </c>
      <c r="AR50" s="117">
        <f t="shared" si="44"/>
        <v>514380</v>
      </c>
      <c r="AS50" s="118">
        <f t="shared" si="44"/>
        <v>514380</v>
      </c>
      <c r="AT50" s="118">
        <f t="shared" si="44"/>
        <v>514380</v>
      </c>
      <c r="AU50" s="119">
        <f t="shared" si="44"/>
        <v>514380</v>
      </c>
      <c r="AW50" s="114">
        <v>321858</v>
      </c>
      <c r="AX50" s="118">
        <f t="shared" si="34"/>
        <v>192522.25942200003</v>
      </c>
      <c r="AY50" s="119">
        <f t="shared" si="35"/>
        <v>514380</v>
      </c>
      <c r="BA50" s="81">
        <f t="shared" si="45"/>
        <v>0</v>
      </c>
      <c r="BB50" s="81">
        <f t="shared" si="46"/>
        <v>0</v>
      </c>
      <c r="BC50" s="81">
        <f t="shared" si="47"/>
        <v>0</v>
      </c>
      <c r="BD50" s="81">
        <f t="shared" si="48"/>
        <v>0</v>
      </c>
      <c r="BE50" s="76"/>
      <c r="BF50" s="126">
        <f t="shared" si="17"/>
        <v>514380</v>
      </c>
      <c r="BG50" s="126">
        <f t="shared" si="49"/>
        <v>514380</v>
      </c>
      <c r="BH50" s="126">
        <f t="shared" si="49"/>
        <v>514380</v>
      </c>
      <c r="BI50" s="126">
        <f t="shared" si="49"/>
        <v>514380</v>
      </c>
      <c r="BJ50" s="126">
        <f t="shared" si="49"/>
        <v>514380</v>
      </c>
      <c r="BL50" s="104">
        <v>47</v>
      </c>
      <c r="BM50" s="82">
        <f t="shared" si="26"/>
        <v>267.35000000000002</v>
      </c>
      <c r="BN50" s="82">
        <f t="shared" si="26"/>
        <v>267.35000000000002</v>
      </c>
      <c r="BO50" s="82">
        <f t="shared" si="26"/>
        <v>267.35000000000002</v>
      </c>
      <c r="BP50" s="82">
        <f t="shared" si="26"/>
        <v>267.35000000000002</v>
      </c>
      <c r="BQ50" s="82">
        <f t="shared" si="26"/>
        <v>267.35000000000002</v>
      </c>
      <c r="BS50" s="104">
        <v>47</v>
      </c>
      <c r="BT50" s="82">
        <f t="shared" si="50"/>
        <v>401.02390852390852</v>
      </c>
      <c r="BU50" s="82">
        <f t="shared" si="50"/>
        <v>401.02390852390852</v>
      </c>
      <c r="BV50" s="82">
        <f t="shared" si="50"/>
        <v>401.02390852390852</v>
      </c>
      <c r="BW50" s="82">
        <f t="shared" si="50"/>
        <v>401.02390852390852</v>
      </c>
      <c r="BX50" s="82">
        <f t="shared" si="50"/>
        <v>401.02390852390852</v>
      </c>
      <c r="BZ50" s="104">
        <v>47</v>
      </c>
      <c r="CA50" s="82">
        <f t="shared" si="51"/>
        <v>133.67463617463616</v>
      </c>
      <c r="CB50" s="82">
        <f t="shared" si="51"/>
        <v>133.67463617463616</v>
      </c>
      <c r="CC50" s="82">
        <f t="shared" si="51"/>
        <v>133.67463617463616</v>
      </c>
      <c r="CD50" s="82">
        <f t="shared" si="51"/>
        <v>133.67463617463616</v>
      </c>
      <c r="CE50" s="82">
        <f t="shared" si="51"/>
        <v>133.67463617463616</v>
      </c>
      <c r="CJ50" s="2"/>
      <c r="CK50" s="2"/>
      <c r="CL50" s="183">
        <v>47</v>
      </c>
      <c r="CM50" s="183">
        <f t="shared" si="23"/>
        <v>321858</v>
      </c>
      <c r="CN50" s="183">
        <v>47</v>
      </c>
      <c r="CO50" s="183">
        <v>321858</v>
      </c>
      <c r="CP50" s="183"/>
      <c r="CQ50" s="183"/>
      <c r="CR50" s="183"/>
      <c r="CS50" s="183"/>
    </row>
    <row r="51" spans="1:97" customFormat="1" ht="14.5" x14ac:dyDescent="0.35">
      <c r="A51">
        <v>48</v>
      </c>
      <c r="B51" s="217">
        <f t="shared" si="52"/>
        <v>44835.416666666664</v>
      </c>
      <c r="C51" s="217">
        <f t="shared" si="52"/>
        <v>44835.416666666664</v>
      </c>
      <c r="D51" s="217">
        <f t="shared" si="52"/>
        <v>44835.416666666664</v>
      </c>
      <c r="E51" s="217">
        <f t="shared" si="52"/>
        <v>44835.416666666664</v>
      </c>
      <c r="F51" s="217">
        <f t="shared" si="52"/>
        <v>44835.416666666664</v>
      </c>
      <c r="G51" s="175"/>
      <c r="H51" s="82"/>
      <c r="I51" s="82"/>
      <c r="J51" s="82"/>
      <c r="K51" s="82"/>
      <c r="L51" s="76">
        <v>48</v>
      </c>
      <c r="M51" s="229">
        <f t="shared" si="37"/>
        <v>44835.416666666664</v>
      </c>
      <c r="N51" s="229">
        <f t="shared" si="37"/>
        <v>44835.416666666664</v>
      </c>
      <c r="O51" s="229">
        <f t="shared" si="37"/>
        <v>44835.416666666664</v>
      </c>
      <c r="P51" s="229">
        <f t="shared" si="37"/>
        <v>44835.416666666664</v>
      </c>
      <c r="Q51" s="229">
        <f t="shared" si="37"/>
        <v>44835.416666666664</v>
      </c>
      <c r="S51" s="80">
        <f t="shared" si="38"/>
        <v>44835.416666666664</v>
      </c>
      <c r="T51" s="80">
        <f t="shared" si="39"/>
        <v>44835.416666666664</v>
      </c>
      <c r="U51" s="80">
        <f t="shared" si="40"/>
        <v>44835.416666666664</v>
      </c>
      <c r="V51" s="80">
        <f t="shared" si="41"/>
        <v>44835.416666666664</v>
      </c>
      <c r="X51" s="104">
        <v>48</v>
      </c>
      <c r="Y51" s="114">
        <v>336653</v>
      </c>
      <c r="Z51" s="115">
        <f t="shared" si="42"/>
        <v>336653</v>
      </c>
      <c r="AA51" s="116">
        <f t="shared" si="43"/>
        <v>538025</v>
      </c>
      <c r="AB51" s="114">
        <v>0</v>
      </c>
      <c r="AC51" s="115">
        <v>0</v>
      </c>
      <c r="AD51" s="115">
        <v>0</v>
      </c>
      <c r="AE51" s="116">
        <v>0</v>
      </c>
      <c r="AF51" s="115"/>
      <c r="AG51" s="115"/>
      <c r="AH51" s="115"/>
      <c r="AI51" s="115"/>
      <c r="AJ51" s="115"/>
      <c r="AK51" s="115"/>
      <c r="AL51" s="115">
        <f t="shared" si="53"/>
        <v>0</v>
      </c>
      <c r="AM51" s="115">
        <f t="shared" si="53"/>
        <v>0</v>
      </c>
      <c r="AN51" s="115">
        <f t="shared" si="53"/>
        <v>0</v>
      </c>
      <c r="AO51" s="115">
        <f t="shared" si="53"/>
        <v>0</v>
      </c>
      <c r="AP51" s="115"/>
      <c r="AQ51" s="114">
        <f t="shared" si="9"/>
        <v>538025</v>
      </c>
      <c r="AR51" s="117">
        <f t="shared" si="44"/>
        <v>538025</v>
      </c>
      <c r="AS51" s="118">
        <f t="shared" si="44"/>
        <v>538025</v>
      </c>
      <c r="AT51" s="118">
        <f t="shared" si="44"/>
        <v>538025</v>
      </c>
      <c r="AU51" s="119">
        <f t="shared" si="44"/>
        <v>538025</v>
      </c>
      <c r="AW51" s="114">
        <v>336653</v>
      </c>
      <c r="AX51" s="118">
        <f t="shared" si="34"/>
        <v>201372.02182700005</v>
      </c>
      <c r="AY51" s="119">
        <f t="shared" si="35"/>
        <v>538025</v>
      </c>
      <c r="BA51" s="81">
        <f t="shared" si="45"/>
        <v>0</v>
      </c>
      <c r="BB51" s="81">
        <f t="shared" si="46"/>
        <v>0</v>
      </c>
      <c r="BC51" s="81">
        <f t="shared" si="47"/>
        <v>0</v>
      </c>
      <c r="BD51" s="81">
        <f t="shared" si="48"/>
        <v>0</v>
      </c>
      <c r="BE51" s="76"/>
      <c r="BF51" s="126">
        <f t="shared" si="17"/>
        <v>538025</v>
      </c>
      <c r="BG51" s="126">
        <f t="shared" si="49"/>
        <v>538025</v>
      </c>
      <c r="BH51" s="126">
        <f t="shared" si="49"/>
        <v>538025</v>
      </c>
      <c r="BI51" s="126">
        <f t="shared" si="49"/>
        <v>538025</v>
      </c>
      <c r="BJ51" s="126">
        <f t="shared" si="49"/>
        <v>538025</v>
      </c>
      <c r="BL51" s="104">
        <v>48</v>
      </c>
      <c r="BM51" s="82">
        <f t="shared" si="26"/>
        <v>279.64</v>
      </c>
      <c r="BN51" s="82">
        <f t="shared" si="26"/>
        <v>279.64</v>
      </c>
      <c r="BO51" s="82">
        <f t="shared" si="26"/>
        <v>279.64</v>
      </c>
      <c r="BP51" s="82">
        <f t="shared" si="26"/>
        <v>279.64</v>
      </c>
      <c r="BQ51" s="82">
        <f t="shared" si="26"/>
        <v>279.64</v>
      </c>
      <c r="BS51" s="104">
        <v>48</v>
      </c>
      <c r="BT51" s="82">
        <f t="shared" si="50"/>
        <v>419.45816008316012</v>
      </c>
      <c r="BU51" s="82">
        <f t="shared" si="50"/>
        <v>419.45816008316012</v>
      </c>
      <c r="BV51" s="82">
        <f t="shared" si="50"/>
        <v>419.45816008316012</v>
      </c>
      <c r="BW51" s="82">
        <f t="shared" si="50"/>
        <v>419.45816008316012</v>
      </c>
      <c r="BX51" s="82">
        <f t="shared" si="50"/>
        <v>419.45816008316012</v>
      </c>
      <c r="BZ51" s="104">
        <v>48</v>
      </c>
      <c r="CA51" s="82">
        <f t="shared" si="51"/>
        <v>139.81938669438671</v>
      </c>
      <c r="CB51" s="82">
        <f t="shared" si="51"/>
        <v>139.81938669438671</v>
      </c>
      <c r="CC51" s="82">
        <f t="shared" si="51"/>
        <v>139.81938669438671</v>
      </c>
      <c r="CD51" s="82">
        <f t="shared" si="51"/>
        <v>139.81938669438671</v>
      </c>
      <c r="CE51" s="82">
        <f t="shared" si="51"/>
        <v>139.81938669438671</v>
      </c>
      <c r="CJ51" s="2"/>
      <c r="CK51" s="2"/>
      <c r="CL51" s="183">
        <v>48</v>
      </c>
      <c r="CM51" s="183">
        <f t="shared" si="23"/>
        <v>336653</v>
      </c>
      <c r="CN51" s="183">
        <v>48</v>
      </c>
      <c r="CO51" s="183">
        <v>336653</v>
      </c>
      <c r="CP51" s="183"/>
      <c r="CQ51" s="183"/>
      <c r="CR51" s="183"/>
      <c r="CS51" s="183"/>
    </row>
    <row r="52" spans="1:97" customFormat="1" ht="14.5" x14ac:dyDescent="0.35">
      <c r="A52">
        <v>49</v>
      </c>
      <c r="B52" s="217">
        <f t="shared" si="52"/>
        <v>47844.333333333336</v>
      </c>
      <c r="C52" s="217">
        <f t="shared" si="52"/>
        <v>47844.333333333336</v>
      </c>
      <c r="D52" s="217">
        <f t="shared" si="52"/>
        <v>47844.333333333336</v>
      </c>
      <c r="E52" s="217">
        <f t="shared" si="52"/>
        <v>47844.333333333336</v>
      </c>
      <c r="F52" s="217">
        <f t="shared" si="52"/>
        <v>47844.333333333336</v>
      </c>
      <c r="G52" s="175"/>
      <c r="H52" s="82"/>
      <c r="I52" s="82"/>
      <c r="J52" s="82"/>
      <c r="K52" s="82"/>
      <c r="L52" s="76">
        <v>49</v>
      </c>
      <c r="M52" s="229">
        <f t="shared" si="37"/>
        <v>47844.333333333336</v>
      </c>
      <c r="N52" s="229">
        <f t="shared" si="37"/>
        <v>47844.333333333336</v>
      </c>
      <c r="O52" s="229">
        <f t="shared" si="37"/>
        <v>47844.333333333336</v>
      </c>
      <c r="P52" s="229">
        <f t="shared" si="37"/>
        <v>47844.333333333336</v>
      </c>
      <c r="Q52" s="229">
        <f t="shared" si="37"/>
        <v>47844.333333333336</v>
      </c>
      <c r="S52" s="80">
        <f t="shared" si="38"/>
        <v>47844.333333333336</v>
      </c>
      <c r="T52" s="80">
        <f t="shared" si="39"/>
        <v>47844.333333333336</v>
      </c>
      <c r="U52" s="80">
        <f t="shared" si="40"/>
        <v>47844.333333333336</v>
      </c>
      <c r="V52" s="80">
        <f t="shared" si="41"/>
        <v>47844.333333333336</v>
      </c>
      <c r="X52" s="104">
        <v>49</v>
      </c>
      <c r="Y52" s="114">
        <v>359246</v>
      </c>
      <c r="Z52" s="115">
        <f t="shared" si="42"/>
        <v>359246</v>
      </c>
      <c r="AA52" s="116">
        <f t="shared" si="43"/>
        <v>574132</v>
      </c>
      <c r="AB52" s="114">
        <v>0</v>
      </c>
      <c r="AC52" s="115">
        <v>0</v>
      </c>
      <c r="AD52" s="115">
        <v>0</v>
      </c>
      <c r="AE52" s="116">
        <v>0</v>
      </c>
      <c r="AF52" s="115"/>
      <c r="AG52" s="115"/>
      <c r="AH52" s="115"/>
      <c r="AI52" s="115"/>
      <c r="AJ52" s="115"/>
      <c r="AK52" s="115"/>
      <c r="AL52" s="115">
        <f t="shared" si="53"/>
        <v>0</v>
      </c>
      <c r="AM52" s="115">
        <f t="shared" si="53"/>
        <v>0</v>
      </c>
      <c r="AN52" s="115">
        <f t="shared" si="53"/>
        <v>0</v>
      </c>
      <c r="AO52" s="115">
        <f t="shared" si="53"/>
        <v>0</v>
      </c>
      <c r="AP52" s="115"/>
      <c r="AQ52" s="114">
        <f>$AA52</f>
        <v>574132</v>
      </c>
      <c r="AR52" s="117">
        <f t="shared" si="44"/>
        <v>574132</v>
      </c>
      <c r="AS52" s="118">
        <f t="shared" si="44"/>
        <v>574132</v>
      </c>
      <c r="AT52" s="118">
        <f t="shared" si="44"/>
        <v>574132</v>
      </c>
      <c r="AU52" s="119">
        <f t="shared" si="44"/>
        <v>574132</v>
      </c>
      <c r="AW52" s="114">
        <v>359246</v>
      </c>
      <c r="AX52" s="118">
        <f t="shared" si="34"/>
        <v>214886.22811400003</v>
      </c>
      <c r="AY52" s="119">
        <f t="shared" si="35"/>
        <v>574132</v>
      </c>
      <c r="BA52" s="81">
        <f t="shared" si="45"/>
        <v>0</v>
      </c>
      <c r="BB52" s="81">
        <f t="shared" si="46"/>
        <v>0</v>
      </c>
      <c r="BC52" s="81">
        <f t="shared" si="47"/>
        <v>0</v>
      </c>
      <c r="BD52" s="81">
        <f t="shared" si="48"/>
        <v>0</v>
      </c>
      <c r="BE52" s="76"/>
      <c r="BF52" s="126">
        <f t="shared" si="17"/>
        <v>574132</v>
      </c>
      <c r="BG52" s="126">
        <f t="shared" si="49"/>
        <v>574132</v>
      </c>
      <c r="BH52" s="126">
        <f t="shared" si="49"/>
        <v>574132</v>
      </c>
      <c r="BI52" s="126">
        <f t="shared" si="49"/>
        <v>574132</v>
      </c>
      <c r="BJ52" s="126">
        <f t="shared" si="49"/>
        <v>574132</v>
      </c>
      <c r="BL52" s="104">
        <v>49</v>
      </c>
      <c r="BM52" s="82">
        <f t="shared" si="26"/>
        <v>298.41000000000003</v>
      </c>
      <c r="BN52" s="82">
        <f t="shared" si="26"/>
        <v>298.41000000000003</v>
      </c>
      <c r="BO52" s="82">
        <f t="shared" si="26"/>
        <v>298.41000000000003</v>
      </c>
      <c r="BP52" s="82">
        <f t="shared" si="26"/>
        <v>298.41000000000003</v>
      </c>
      <c r="BQ52" s="82">
        <f t="shared" si="26"/>
        <v>298.41000000000003</v>
      </c>
      <c r="BS52" s="104">
        <v>49</v>
      </c>
      <c r="BT52" s="82">
        <f t="shared" si="50"/>
        <v>447.60810810810813</v>
      </c>
      <c r="BU52" s="82">
        <f t="shared" si="50"/>
        <v>447.60810810810813</v>
      </c>
      <c r="BV52" s="82">
        <f t="shared" si="50"/>
        <v>447.60810810810813</v>
      </c>
      <c r="BW52" s="82">
        <f t="shared" si="50"/>
        <v>447.60810810810813</v>
      </c>
      <c r="BX52" s="82">
        <f t="shared" si="50"/>
        <v>447.60810810810813</v>
      </c>
      <c r="BZ52" s="104">
        <v>49</v>
      </c>
      <c r="CA52" s="82">
        <f t="shared" si="51"/>
        <v>149.20270270270271</v>
      </c>
      <c r="CB52" s="82">
        <f t="shared" si="51"/>
        <v>149.20270270270271</v>
      </c>
      <c r="CC52" s="82">
        <f t="shared" si="51"/>
        <v>149.20270270270271</v>
      </c>
      <c r="CD52" s="82">
        <f t="shared" si="51"/>
        <v>149.20270270270271</v>
      </c>
      <c r="CE52" s="82">
        <f t="shared" si="51"/>
        <v>149.20270270270271</v>
      </c>
      <c r="CJ52" s="2"/>
      <c r="CK52" s="2"/>
      <c r="CL52" s="183">
        <v>49</v>
      </c>
      <c r="CM52" s="183">
        <f t="shared" si="23"/>
        <v>359246</v>
      </c>
      <c r="CN52" s="183">
        <v>49</v>
      </c>
      <c r="CO52" s="183">
        <v>359246</v>
      </c>
      <c r="CP52" s="183"/>
      <c r="CQ52" s="183"/>
      <c r="CR52" s="183"/>
      <c r="CS52" s="183"/>
    </row>
    <row r="53" spans="1:97" customFormat="1" ht="14.5" x14ac:dyDescent="0.35">
      <c r="A53">
        <v>50</v>
      </c>
      <c r="B53" s="217">
        <f t="shared" si="52"/>
        <v>51184.25</v>
      </c>
      <c r="C53" s="217">
        <f t="shared" si="52"/>
        <v>51184.25</v>
      </c>
      <c r="D53" s="217">
        <f t="shared" si="52"/>
        <v>51184.25</v>
      </c>
      <c r="E53" s="217">
        <f t="shared" si="52"/>
        <v>51184.25</v>
      </c>
      <c r="F53" s="217">
        <f t="shared" si="52"/>
        <v>51184.25</v>
      </c>
      <c r="G53" s="175"/>
      <c r="H53" s="82"/>
      <c r="I53" s="82"/>
      <c r="J53" s="82"/>
      <c r="K53" s="82"/>
      <c r="L53" s="76">
        <v>50</v>
      </c>
      <c r="M53" s="229">
        <f t="shared" si="37"/>
        <v>52391.5</v>
      </c>
      <c r="N53" s="229">
        <f t="shared" si="37"/>
        <v>52391.5</v>
      </c>
      <c r="O53" s="229">
        <f t="shared" si="37"/>
        <v>52391.5</v>
      </c>
      <c r="P53" s="229">
        <f t="shared" si="37"/>
        <v>52391.5</v>
      </c>
      <c r="Q53" s="229">
        <f t="shared" si="37"/>
        <v>52391.5</v>
      </c>
      <c r="S53" s="80">
        <f t="shared" si="38"/>
        <v>52391.5</v>
      </c>
      <c r="T53" s="80">
        <f t="shared" si="39"/>
        <v>52391.5</v>
      </c>
      <c r="U53" s="80">
        <f t="shared" si="40"/>
        <v>52391.5</v>
      </c>
      <c r="V53" s="80">
        <f t="shared" si="41"/>
        <v>52391.5</v>
      </c>
      <c r="X53" s="104">
        <v>50</v>
      </c>
      <c r="Y53" s="120">
        <v>384324</v>
      </c>
      <c r="Z53" s="121">
        <f t="shared" si="42"/>
        <v>384324</v>
      </c>
      <c r="AA53" s="122">
        <f t="shared" si="43"/>
        <v>614211</v>
      </c>
      <c r="AB53" s="120">
        <v>0</v>
      </c>
      <c r="AC53" s="121">
        <v>0</v>
      </c>
      <c r="AD53" s="121">
        <v>0</v>
      </c>
      <c r="AE53" s="122">
        <v>0</v>
      </c>
      <c r="AF53" s="121"/>
      <c r="AG53" s="121"/>
      <c r="AH53" s="121"/>
      <c r="AI53" s="121"/>
      <c r="AJ53" s="121"/>
      <c r="AK53" s="121"/>
      <c r="AL53" s="121">
        <f t="shared" si="53"/>
        <v>0</v>
      </c>
      <c r="AM53" s="121">
        <f t="shared" si="53"/>
        <v>0</v>
      </c>
      <c r="AN53" s="121">
        <f t="shared" si="53"/>
        <v>0</v>
      </c>
      <c r="AO53" s="121">
        <f t="shared" si="53"/>
        <v>0</v>
      </c>
      <c r="AP53" s="121"/>
      <c r="AQ53" s="120">
        <f t="shared" si="9"/>
        <v>614211</v>
      </c>
      <c r="AR53" s="123">
        <f t="shared" si="44"/>
        <v>614211</v>
      </c>
      <c r="AS53" s="124">
        <f t="shared" si="44"/>
        <v>614211</v>
      </c>
      <c r="AT53" s="124">
        <f t="shared" si="44"/>
        <v>614211</v>
      </c>
      <c r="AU53" s="125">
        <f t="shared" si="44"/>
        <v>614211</v>
      </c>
      <c r="AW53" s="120">
        <v>393389</v>
      </c>
      <c r="AX53" s="124">
        <f t="shared" si="34"/>
        <v>235309.17085100003</v>
      </c>
      <c r="AY53" s="125">
        <f t="shared" si="35"/>
        <v>628698</v>
      </c>
      <c r="BA53" s="81">
        <f t="shared" si="45"/>
        <v>0</v>
      </c>
      <c r="BB53" s="81">
        <f t="shared" si="46"/>
        <v>0</v>
      </c>
      <c r="BC53" s="81">
        <f t="shared" si="47"/>
        <v>0</v>
      </c>
      <c r="BD53" s="81">
        <f t="shared" si="48"/>
        <v>0</v>
      </c>
      <c r="BE53" s="76"/>
      <c r="BF53" s="81">
        <f t="shared" si="17"/>
        <v>628698</v>
      </c>
      <c r="BG53" s="81">
        <f t="shared" si="49"/>
        <v>628698</v>
      </c>
      <c r="BH53" s="81">
        <f t="shared" si="49"/>
        <v>628698</v>
      </c>
      <c r="BI53" s="81">
        <f t="shared" si="49"/>
        <v>628698</v>
      </c>
      <c r="BJ53" s="81">
        <f t="shared" si="49"/>
        <v>628698</v>
      </c>
      <c r="BL53" s="104">
        <v>50</v>
      </c>
      <c r="BM53" s="82">
        <f t="shared" si="26"/>
        <v>319.24</v>
      </c>
      <c r="BN53" s="82">
        <f t="shared" si="26"/>
        <v>319.24</v>
      </c>
      <c r="BO53" s="82">
        <f t="shared" si="26"/>
        <v>319.24</v>
      </c>
      <c r="BP53" s="82">
        <f t="shared" si="26"/>
        <v>319.24</v>
      </c>
      <c r="BQ53" s="82">
        <f t="shared" si="26"/>
        <v>319.24</v>
      </c>
      <c r="BS53" s="104">
        <v>50</v>
      </c>
      <c r="BT53" s="82">
        <f t="shared" si="50"/>
        <v>478.8547297297298</v>
      </c>
      <c r="BU53" s="82">
        <f t="shared" si="50"/>
        <v>478.8547297297298</v>
      </c>
      <c r="BV53" s="82">
        <f t="shared" si="50"/>
        <v>478.8547297297298</v>
      </c>
      <c r="BW53" s="82">
        <f t="shared" si="50"/>
        <v>478.8547297297298</v>
      </c>
      <c r="BX53" s="82">
        <f t="shared" si="50"/>
        <v>478.8547297297298</v>
      </c>
      <c r="BZ53" s="104">
        <v>50</v>
      </c>
      <c r="CA53" s="82">
        <f t="shared" si="51"/>
        <v>159.61824324324326</v>
      </c>
      <c r="CB53" s="82">
        <f t="shared" si="51"/>
        <v>159.61824324324326</v>
      </c>
      <c r="CC53" s="82">
        <f t="shared" si="51"/>
        <v>159.61824324324326</v>
      </c>
      <c r="CD53" s="82">
        <f t="shared" si="51"/>
        <v>159.61824324324326</v>
      </c>
      <c r="CE53" s="82">
        <f t="shared" si="51"/>
        <v>159.61824324324326</v>
      </c>
      <c r="CJ53" s="2"/>
      <c r="CK53" s="2"/>
      <c r="CL53" s="183">
        <v>50</v>
      </c>
      <c r="CM53" s="183">
        <f t="shared" si="23"/>
        <v>384324</v>
      </c>
      <c r="CN53" s="183">
        <v>50</v>
      </c>
      <c r="CO53" s="183">
        <v>384324</v>
      </c>
      <c r="CP53" s="183"/>
      <c r="CQ53" s="183"/>
      <c r="CR53" s="183"/>
      <c r="CS53" s="183"/>
    </row>
    <row r="54" spans="1:97" customFormat="1" ht="14.5" x14ac:dyDescent="0.35">
      <c r="A54">
        <v>51</v>
      </c>
      <c r="B54" s="217">
        <f t="shared" si="52"/>
        <v>56536.75</v>
      </c>
      <c r="C54" s="217">
        <f t="shared" si="52"/>
        <v>56536.75</v>
      </c>
      <c r="D54" s="217">
        <f t="shared" si="52"/>
        <v>56536.75</v>
      </c>
      <c r="E54" s="217">
        <f t="shared" si="52"/>
        <v>56536.75</v>
      </c>
      <c r="F54" s="217">
        <f t="shared" si="52"/>
        <v>56536.75</v>
      </c>
      <c r="G54" s="175"/>
      <c r="H54" s="82"/>
      <c r="I54" s="82"/>
      <c r="J54" s="82"/>
      <c r="K54" s="82"/>
      <c r="L54" s="76">
        <v>51</v>
      </c>
      <c r="M54" s="229">
        <f t="shared" si="37"/>
        <v>58058.583333333336</v>
      </c>
      <c r="N54" s="229">
        <f t="shared" si="37"/>
        <v>58058.583333333336</v>
      </c>
      <c r="O54" s="229">
        <f t="shared" si="37"/>
        <v>58058.583333333336</v>
      </c>
      <c r="P54" s="229">
        <f t="shared" si="37"/>
        <v>58058.583333333336</v>
      </c>
      <c r="Q54" s="229">
        <f t="shared" si="37"/>
        <v>58058.583333333336</v>
      </c>
      <c r="S54" s="80">
        <f t="shared" si="38"/>
        <v>58058.583333333336</v>
      </c>
      <c r="T54" s="80">
        <f t="shared" si="39"/>
        <v>58058.583333333336</v>
      </c>
      <c r="U54" s="80">
        <f t="shared" si="40"/>
        <v>58058.583333333336</v>
      </c>
      <c r="V54" s="80">
        <f t="shared" si="41"/>
        <v>58058.583333333336</v>
      </c>
      <c r="X54" s="104">
        <v>51</v>
      </c>
      <c r="Y54" s="114">
        <v>424514</v>
      </c>
      <c r="Z54" s="115">
        <f t="shared" si="42"/>
        <v>424514</v>
      </c>
      <c r="AA54" s="116">
        <f t="shared" si="43"/>
        <v>678441</v>
      </c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>
        <f t="shared" si="53"/>
        <v>0</v>
      </c>
      <c r="AM54" s="127">
        <f t="shared" si="53"/>
        <v>0</v>
      </c>
      <c r="AN54" s="127">
        <f t="shared" si="53"/>
        <v>0</v>
      </c>
      <c r="AO54" s="127">
        <f t="shared" si="53"/>
        <v>0</v>
      </c>
      <c r="AP54" s="127"/>
      <c r="AQ54" s="114">
        <f t="shared" si="9"/>
        <v>678441</v>
      </c>
      <c r="AR54" s="117">
        <f t="shared" si="44"/>
        <v>678441</v>
      </c>
      <c r="AS54" s="118">
        <f t="shared" si="44"/>
        <v>678441</v>
      </c>
      <c r="AT54" s="118">
        <f t="shared" si="44"/>
        <v>678441</v>
      </c>
      <c r="AU54" s="119">
        <f t="shared" si="44"/>
        <v>678441</v>
      </c>
      <c r="AW54" s="114">
        <v>435941</v>
      </c>
      <c r="AX54" s="118">
        <f t="shared" si="34"/>
        <v>260762.03261900003</v>
      </c>
      <c r="AY54" s="119">
        <f>ROUND(SUM(AW54:AX54),0)</f>
        <v>696703</v>
      </c>
      <c r="BA54" s="81">
        <f t="shared" si="45"/>
        <v>0</v>
      </c>
      <c r="BB54" s="81">
        <f t="shared" si="46"/>
        <v>0</v>
      </c>
      <c r="BC54" s="81">
        <f t="shared" si="47"/>
        <v>0</v>
      </c>
      <c r="BD54" s="81">
        <f t="shared" si="48"/>
        <v>0</v>
      </c>
      <c r="BE54" s="76"/>
      <c r="BF54" s="81">
        <f t="shared" si="17"/>
        <v>696703</v>
      </c>
      <c r="BG54" s="81">
        <f t="shared" si="49"/>
        <v>696703</v>
      </c>
      <c r="BH54" s="81">
        <f t="shared" si="49"/>
        <v>696703</v>
      </c>
      <c r="BI54" s="81">
        <f t="shared" si="49"/>
        <v>696703</v>
      </c>
      <c r="BJ54" s="81">
        <f t="shared" si="49"/>
        <v>696703</v>
      </c>
      <c r="BL54" s="104">
        <v>51</v>
      </c>
      <c r="BM54" s="82">
        <f t="shared" si="26"/>
        <v>352.62</v>
      </c>
      <c r="BN54" s="82">
        <f t="shared" si="26"/>
        <v>352.62</v>
      </c>
      <c r="BO54" s="82">
        <f t="shared" si="26"/>
        <v>352.62</v>
      </c>
      <c r="BP54" s="82">
        <f t="shared" si="26"/>
        <v>352.62</v>
      </c>
      <c r="BQ54" s="82">
        <f t="shared" si="26"/>
        <v>352.62</v>
      </c>
      <c r="BS54" s="104">
        <v>51</v>
      </c>
      <c r="BT54" s="82">
        <f t="shared" si="50"/>
        <v>528.93009355509355</v>
      </c>
      <c r="BU54" s="82">
        <f t="shared" si="50"/>
        <v>528.93009355509355</v>
      </c>
      <c r="BV54" s="82">
        <f t="shared" si="50"/>
        <v>528.93009355509355</v>
      </c>
      <c r="BW54" s="82">
        <f t="shared" si="50"/>
        <v>528.93009355509355</v>
      </c>
      <c r="BX54" s="82">
        <f t="shared" si="50"/>
        <v>528.93009355509355</v>
      </c>
      <c r="BZ54" s="104">
        <v>51</v>
      </c>
      <c r="CA54" s="82">
        <f t="shared" si="51"/>
        <v>176.31003118503119</v>
      </c>
      <c r="CB54" s="82">
        <f t="shared" si="51"/>
        <v>176.31003118503119</v>
      </c>
      <c r="CC54" s="82">
        <f t="shared" si="51"/>
        <v>176.31003118503119</v>
      </c>
      <c r="CD54" s="82">
        <f t="shared" si="51"/>
        <v>176.31003118503119</v>
      </c>
      <c r="CE54" s="82">
        <f t="shared" si="51"/>
        <v>176.31003118503119</v>
      </c>
      <c r="CJ54" s="2"/>
      <c r="CK54" s="2"/>
      <c r="CL54" s="183">
        <v>51</v>
      </c>
      <c r="CM54" s="183">
        <f t="shared" si="23"/>
        <v>424514</v>
      </c>
      <c r="CN54" s="183">
        <v>51</v>
      </c>
      <c r="CO54" s="183">
        <v>424514</v>
      </c>
      <c r="CP54" s="183"/>
      <c r="CQ54" s="183"/>
      <c r="CR54" s="183"/>
      <c r="CS54" s="183"/>
    </row>
    <row r="55" spans="1:97" customFormat="1" ht="14.5" x14ac:dyDescent="0.35">
      <c r="A55">
        <v>52</v>
      </c>
      <c r="B55" s="217">
        <f t="shared" si="52"/>
        <v>64331.75</v>
      </c>
      <c r="C55" s="217">
        <f t="shared" si="52"/>
        <v>64331.75</v>
      </c>
      <c r="D55" s="217">
        <f t="shared" si="52"/>
        <v>64331.75</v>
      </c>
      <c r="E55" s="217">
        <f t="shared" si="52"/>
        <v>64331.75</v>
      </c>
      <c r="F55" s="217">
        <f t="shared" si="52"/>
        <v>64331.75</v>
      </c>
      <c r="G55" s="175"/>
      <c r="H55" s="82"/>
      <c r="I55" s="82"/>
      <c r="J55" s="82"/>
      <c r="K55" s="82"/>
      <c r="L55" s="76">
        <v>52</v>
      </c>
      <c r="M55" s="229">
        <f t="shared" si="37"/>
        <v>66122.666666666672</v>
      </c>
      <c r="N55" s="229">
        <f t="shared" si="37"/>
        <v>66122.666666666672</v>
      </c>
      <c r="O55" s="229">
        <f t="shared" si="37"/>
        <v>66122.666666666672</v>
      </c>
      <c r="P55" s="229">
        <f t="shared" si="37"/>
        <v>66122.666666666672</v>
      </c>
      <c r="Q55" s="229">
        <f t="shared" si="37"/>
        <v>66122.666666666672</v>
      </c>
      <c r="S55" s="80">
        <f t="shared" si="38"/>
        <v>66122.666666666672</v>
      </c>
      <c r="T55" s="80">
        <f t="shared" si="39"/>
        <v>66122.666666666672</v>
      </c>
      <c r="U55" s="80">
        <f t="shared" si="40"/>
        <v>66122.666666666672</v>
      </c>
      <c r="V55" s="80">
        <f t="shared" si="41"/>
        <v>66122.666666666672</v>
      </c>
      <c r="X55" s="104">
        <v>52</v>
      </c>
      <c r="Y55" s="114">
        <v>483044</v>
      </c>
      <c r="Z55" s="115">
        <f t="shared" si="42"/>
        <v>483044</v>
      </c>
      <c r="AA55" s="116">
        <f t="shared" si="43"/>
        <v>771981</v>
      </c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>
        <f t="shared" si="53"/>
        <v>0</v>
      </c>
      <c r="AM55" s="127">
        <f t="shared" si="53"/>
        <v>0</v>
      </c>
      <c r="AN55" s="127">
        <f t="shared" si="53"/>
        <v>0</v>
      </c>
      <c r="AO55" s="127">
        <f t="shared" si="53"/>
        <v>0</v>
      </c>
      <c r="AP55" s="127"/>
      <c r="AQ55" s="120">
        <f t="shared" si="9"/>
        <v>771981</v>
      </c>
      <c r="AR55" s="123">
        <f t="shared" si="44"/>
        <v>771981</v>
      </c>
      <c r="AS55" s="124">
        <f t="shared" si="44"/>
        <v>771981</v>
      </c>
      <c r="AT55" s="124">
        <f t="shared" si="44"/>
        <v>771981</v>
      </c>
      <c r="AU55" s="125">
        <f t="shared" si="44"/>
        <v>771981</v>
      </c>
      <c r="AW55" s="114">
        <v>496491</v>
      </c>
      <c r="AX55" s="124">
        <f t="shared" si="34"/>
        <v>296980.56006900006</v>
      </c>
      <c r="AY55" s="125">
        <f t="shared" si="35"/>
        <v>793472</v>
      </c>
      <c r="BA55" s="81">
        <f t="shared" si="45"/>
        <v>0</v>
      </c>
      <c r="BB55" s="81">
        <f t="shared" si="46"/>
        <v>0</v>
      </c>
      <c r="BC55" s="81">
        <f t="shared" si="47"/>
        <v>0</v>
      </c>
      <c r="BD55" s="81">
        <f t="shared" si="48"/>
        <v>0</v>
      </c>
      <c r="BE55" s="76"/>
      <c r="BF55" s="81">
        <f t="shared" si="17"/>
        <v>793472</v>
      </c>
      <c r="BG55" s="81">
        <f t="shared" si="49"/>
        <v>793472</v>
      </c>
      <c r="BH55" s="81">
        <f t="shared" si="49"/>
        <v>793472</v>
      </c>
      <c r="BI55" s="81">
        <f t="shared" si="49"/>
        <v>793472</v>
      </c>
      <c r="BJ55" s="81">
        <f t="shared" si="49"/>
        <v>793472</v>
      </c>
      <c r="BL55" s="104">
        <v>52</v>
      </c>
      <c r="BM55" s="82">
        <f t="shared" si="26"/>
        <v>401.24</v>
      </c>
      <c r="BN55" s="82">
        <f t="shared" si="26"/>
        <v>401.24</v>
      </c>
      <c r="BO55" s="82">
        <f t="shared" si="26"/>
        <v>401.24</v>
      </c>
      <c r="BP55" s="82">
        <f t="shared" si="26"/>
        <v>401.24</v>
      </c>
      <c r="BQ55" s="82">
        <f t="shared" si="26"/>
        <v>401.24</v>
      </c>
      <c r="BS55" s="104">
        <v>52</v>
      </c>
      <c r="BT55" s="82">
        <f t="shared" si="50"/>
        <v>601.85628898128903</v>
      </c>
      <c r="BU55" s="82">
        <f t="shared" si="50"/>
        <v>601.85628898128903</v>
      </c>
      <c r="BV55" s="82">
        <f t="shared" si="50"/>
        <v>601.85628898128903</v>
      </c>
      <c r="BW55" s="82">
        <f t="shared" si="50"/>
        <v>601.85628898128903</v>
      </c>
      <c r="BX55" s="82">
        <f t="shared" si="50"/>
        <v>601.85628898128903</v>
      </c>
      <c r="BZ55" s="104">
        <v>52</v>
      </c>
      <c r="CA55" s="82">
        <f t="shared" si="51"/>
        <v>200.618762993763</v>
      </c>
      <c r="CB55" s="82">
        <f t="shared" si="51"/>
        <v>200.618762993763</v>
      </c>
      <c r="CC55" s="82">
        <f t="shared" si="51"/>
        <v>200.618762993763</v>
      </c>
      <c r="CD55" s="82">
        <f t="shared" si="51"/>
        <v>200.618762993763</v>
      </c>
      <c r="CE55" s="82">
        <f t="shared" si="51"/>
        <v>200.618762993763</v>
      </c>
      <c r="CJ55" s="2"/>
      <c r="CK55" s="2"/>
      <c r="CL55" s="183">
        <v>52</v>
      </c>
      <c r="CM55" s="183">
        <f t="shared" si="23"/>
        <v>483044</v>
      </c>
      <c r="CN55" s="183">
        <v>52</v>
      </c>
      <c r="CO55" s="183">
        <v>483044</v>
      </c>
      <c r="CP55" s="183"/>
      <c r="CQ55" s="183"/>
      <c r="CR55" s="183"/>
      <c r="CS55" s="183"/>
    </row>
    <row r="56" spans="1:97" customFormat="1" ht="14.5" x14ac:dyDescent="0.35">
      <c r="A56">
        <v>53</v>
      </c>
      <c r="B56" s="217">
        <f t="shared" si="52"/>
        <v>70633.833333333328</v>
      </c>
      <c r="C56" s="217">
        <f t="shared" si="52"/>
        <v>70633.833333333328</v>
      </c>
      <c r="D56" s="217">
        <f t="shared" si="52"/>
        <v>70633.833333333328</v>
      </c>
      <c r="E56" s="217">
        <f t="shared" si="52"/>
        <v>70633.833333333328</v>
      </c>
      <c r="F56" s="217">
        <f t="shared" si="52"/>
        <v>70633.833333333328</v>
      </c>
      <c r="G56" s="175"/>
      <c r="H56" s="82"/>
      <c r="I56" s="82"/>
      <c r="J56" s="82"/>
      <c r="K56" s="82"/>
      <c r="L56" s="76">
        <v>53</v>
      </c>
      <c r="M56" s="229">
        <f t="shared" si="37"/>
        <v>73605.5</v>
      </c>
      <c r="N56" s="229">
        <f t="shared" si="37"/>
        <v>73605.5</v>
      </c>
      <c r="O56" s="229">
        <f t="shared" si="37"/>
        <v>73605.5</v>
      </c>
      <c r="P56" s="229">
        <f t="shared" si="37"/>
        <v>73605.5</v>
      </c>
      <c r="Q56" s="229">
        <f t="shared" si="37"/>
        <v>73605.5</v>
      </c>
      <c r="S56" s="80">
        <f t="shared" si="38"/>
        <v>73605.5</v>
      </c>
      <c r="T56" s="80">
        <f t="shared" si="39"/>
        <v>73605.5</v>
      </c>
      <c r="U56" s="80">
        <f t="shared" si="40"/>
        <v>73605.5</v>
      </c>
      <c r="V56" s="80">
        <f t="shared" si="41"/>
        <v>73605.5</v>
      </c>
      <c r="X56" s="104">
        <v>53</v>
      </c>
      <c r="Y56" s="114">
        <v>530364</v>
      </c>
      <c r="Z56" s="115">
        <f t="shared" si="42"/>
        <v>530364</v>
      </c>
      <c r="AA56" s="116">
        <f t="shared" si="43"/>
        <v>847606</v>
      </c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>
        <f t="shared" si="53"/>
        <v>0</v>
      </c>
      <c r="AM56" s="127">
        <f t="shared" si="53"/>
        <v>0</v>
      </c>
      <c r="AN56" s="127">
        <f t="shared" si="53"/>
        <v>0</v>
      </c>
      <c r="AO56" s="127">
        <f t="shared" si="53"/>
        <v>0</v>
      </c>
      <c r="AP56" s="127"/>
      <c r="AQ56" s="114">
        <f t="shared" si="9"/>
        <v>847606</v>
      </c>
      <c r="AR56" s="117">
        <f t="shared" si="44"/>
        <v>847606</v>
      </c>
      <c r="AS56" s="118">
        <f t="shared" si="44"/>
        <v>847606</v>
      </c>
      <c r="AT56" s="118">
        <f t="shared" si="44"/>
        <v>847606</v>
      </c>
      <c r="AU56" s="119">
        <f t="shared" si="44"/>
        <v>847606</v>
      </c>
      <c r="AW56" s="114">
        <v>552677</v>
      </c>
      <c r="AX56" s="118">
        <f t="shared" si="34"/>
        <v>330588.72164300008</v>
      </c>
      <c r="AY56" s="119">
        <f t="shared" si="35"/>
        <v>883266</v>
      </c>
      <c r="BA56" s="81">
        <f t="shared" si="45"/>
        <v>0</v>
      </c>
      <c r="BB56" s="81">
        <f t="shared" si="46"/>
        <v>0</v>
      </c>
      <c r="BC56" s="81">
        <f t="shared" si="47"/>
        <v>0</v>
      </c>
      <c r="BD56" s="81">
        <f t="shared" si="48"/>
        <v>0</v>
      </c>
      <c r="BE56" s="76"/>
      <c r="BF56" s="81">
        <f t="shared" si="17"/>
        <v>883266</v>
      </c>
      <c r="BG56" s="81">
        <f t="shared" si="49"/>
        <v>883266</v>
      </c>
      <c r="BH56" s="81">
        <f t="shared" si="49"/>
        <v>883266</v>
      </c>
      <c r="BI56" s="81">
        <f t="shared" si="49"/>
        <v>883266</v>
      </c>
      <c r="BJ56" s="81">
        <f t="shared" si="49"/>
        <v>883266</v>
      </c>
      <c r="BL56" s="104">
        <v>53</v>
      </c>
      <c r="BM56" s="82">
        <f t="shared" si="26"/>
        <v>440.54</v>
      </c>
      <c r="BN56" s="82">
        <f t="shared" si="26"/>
        <v>440.54</v>
      </c>
      <c r="BO56" s="82">
        <f t="shared" si="26"/>
        <v>440.54</v>
      </c>
      <c r="BP56" s="82">
        <f t="shared" si="26"/>
        <v>440.54</v>
      </c>
      <c r="BQ56" s="82">
        <f t="shared" si="26"/>
        <v>440.54</v>
      </c>
      <c r="BS56" s="104">
        <v>53</v>
      </c>
      <c r="BT56" s="82">
        <f t="shared" si="50"/>
        <v>660.81548856548852</v>
      </c>
      <c r="BU56" s="82">
        <f t="shared" si="50"/>
        <v>660.81548856548852</v>
      </c>
      <c r="BV56" s="82">
        <f t="shared" si="50"/>
        <v>660.81548856548852</v>
      </c>
      <c r="BW56" s="82">
        <f t="shared" si="50"/>
        <v>660.81548856548852</v>
      </c>
      <c r="BX56" s="82">
        <f t="shared" si="50"/>
        <v>660.81548856548852</v>
      </c>
      <c r="BZ56" s="104">
        <v>53</v>
      </c>
      <c r="CA56" s="82">
        <f t="shared" si="51"/>
        <v>220.27182952182952</v>
      </c>
      <c r="CB56" s="82">
        <f t="shared" si="51"/>
        <v>220.27182952182952</v>
      </c>
      <c r="CC56" s="82">
        <f t="shared" si="51"/>
        <v>220.27182952182952</v>
      </c>
      <c r="CD56" s="82">
        <f t="shared" si="51"/>
        <v>220.27182952182952</v>
      </c>
      <c r="CE56" s="82">
        <f t="shared" si="51"/>
        <v>220.27182952182952</v>
      </c>
      <c r="CJ56" s="2"/>
      <c r="CK56" s="2"/>
      <c r="CL56" s="183">
        <v>53</v>
      </c>
      <c r="CM56" s="183">
        <f t="shared" si="23"/>
        <v>530364</v>
      </c>
      <c r="CN56" s="183">
        <v>53</v>
      </c>
      <c r="CO56" s="183">
        <v>530364</v>
      </c>
      <c r="CP56" s="183"/>
      <c r="CQ56" s="183"/>
      <c r="CR56" s="183"/>
      <c r="CS56" s="183"/>
    </row>
    <row r="57" spans="1:97" customFormat="1" ht="14.5" x14ac:dyDescent="0.35">
      <c r="A57">
        <v>54</v>
      </c>
      <c r="B57" s="217">
        <f t="shared" si="52"/>
        <v>79035.5</v>
      </c>
      <c r="C57" s="217">
        <f t="shared" si="52"/>
        <v>79035.5</v>
      </c>
      <c r="D57" s="217">
        <f t="shared" si="52"/>
        <v>79035.5</v>
      </c>
      <c r="E57" s="217">
        <f t="shared" si="52"/>
        <v>79035.5</v>
      </c>
      <c r="F57" s="217">
        <f t="shared" si="52"/>
        <v>79035.5</v>
      </c>
      <c r="G57" s="175"/>
      <c r="H57" s="82"/>
      <c r="I57" s="82"/>
      <c r="J57" s="82"/>
      <c r="K57" s="82"/>
      <c r="L57" s="76">
        <v>54</v>
      </c>
      <c r="M57" s="229">
        <f t="shared" si="37"/>
        <v>82931.666666666672</v>
      </c>
      <c r="N57" s="229">
        <f t="shared" si="37"/>
        <v>82931.666666666672</v>
      </c>
      <c r="O57" s="229">
        <f t="shared" si="37"/>
        <v>82931.666666666672</v>
      </c>
      <c r="P57" s="229">
        <f t="shared" si="37"/>
        <v>82931.666666666672</v>
      </c>
      <c r="Q57" s="229">
        <f t="shared" si="37"/>
        <v>82931.666666666672</v>
      </c>
      <c r="S57" s="80">
        <f t="shared" si="38"/>
        <v>82931.666666666672</v>
      </c>
      <c r="T57" s="80">
        <f t="shared" si="39"/>
        <v>82931.666666666672</v>
      </c>
      <c r="U57" s="80">
        <f t="shared" si="40"/>
        <v>82931.666666666672</v>
      </c>
      <c r="V57" s="80">
        <f t="shared" si="41"/>
        <v>82931.666666666672</v>
      </c>
      <c r="X57" s="104">
        <v>54</v>
      </c>
      <c r="Y57" s="114">
        <v>593449</v>
      </c>
      <c r="Z57" s="115">
        <f t="shared" si="42"/>
        <v>593449</v>
      </c>
      <c r="AA57" s="116">
        <f t="shared" si="43"/>
        <v>948426</v>
      </c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>
        <f t="shared" si="53"/>
        <v>0</v>
      </c>
      <c r="AM57" s="127">
        <f t="shared" si="53"/>
        <v>0</v>
      </c>
      <c r="AN57" s="127">
        <f t="shared" si="53"/>
        <v>0</v>
      </c>
      <c r="AO57" s="127">
        <f t="shared" si="53"/>
        <v>0</v>
      </c>
      <c r="AP57" s="127"/>
      <c r="AQ57" s="120">
        <f t="shared" si="9"/>
        <v>948426</v>
      </c>
      <c r="AR57" s="123">
        <f t="shared" si="44"/>
        <v>948426</v>
      </c>
      <c r="AS57" s="124">
        <f t="shared" si="44"/>
        <v>948426</v>
      </c>
      <c r="AT57" s="124">
        <f t="shared" si="44"/>
        <v>948426</v>
      </c>
      <c r="AU57" s="125">
        <f t="shared" si="44"/>
        <v>948426</v>
      </c>
      <c r="AW57" s="114">
        <v>622704</v>
      </c>
      <c r="AX57" s="124">
        <f t="shared" si="34"/>
        <v>372476.00193600007</v>
      </c>
      <c r="AY57" s="125">
        <f t="shared" si="35"/>
        <v>995180</v>
      </c>
      <c r="BA57" s="81">
        <f t="shared" si="45"/>
        <v>0</v>
      </c>
      <c r="BB57" s="81">
        <f t="shared" si="46"/>
        <v>0</v>
      </c>
      <c r="BC57" s="81">
        <f t="shared" si="47"/>
        <v>0</v>
      </c>
      <c r="BD57" s="81">
        <f t="shared" si="48"/>
        <v>0</v>
      </c>
      <c r="BE57" s="76"/>
      <c r="BF57" s="81">
        <f t="shared" si="17"/>
        <v>995180</v>
      </c>
      <c r="BG57" s="81">
        <f t="shared" si="49"/>
        <v>995180</v>
      </c>
      <c r="BH57" s="81">
        <f t="shared" si="49"/>
        <v>995180</v>
      </c>
      <c r="BI57" s="81">
        <f t="shared" si="49"/>
        <v>995180</v>
      </c>
      <c r="BJ57" s="81">
        <f t="shared" si="49"/>
        <v>995180</v>
      </c>
      <c r="BL57" s="104">
        <v>54</v>
      </c>
      <c r="BM57" s="82">
        <f t="shared" si="26"/>
        <v>492.94</v>
      </c>
      <c r="BN57" s="82">
        <f t="shared" si="26"/>
        <v>492.94</v>
      </c>
      <c r="BO57" s="82">
        <f t="shared" si="26"/>
        <v>492.94</v>
      </c>
      <c r="BP57" s="82">
        <f t="shared" si="26"/>
        <v>492.94</v>
      </c>
      <c r="BQ57" s="82">
        <f t="shared" si="26"/>
        <v>492.94</v>
      </c>
      <c r="BS57" s="104">
        <v>54</v>
      </c>
      <c r="BT57" s="82">
        <f t="shared" si="50"/>
        <v>739.41735966735973</v>
      </c>
      <c r="BU57" s="82">
        <f t="shared" si="50"/>
        <v>739.41735966735973</v>
      </c>
      <c r="BV57" s="82">
        <f t="shared" si="50"/>
        <v>739.41735966735973</v>
      </c>
      <c r="BW57" s="82">
        <f t="shared" si="50"/>
        <v>739.41735966735973</v>
      </c>
      <c r="BX57" s="82">
        <f t="shared" si="50"/>
        <v>739.41735966735973</v>
      </c>
      <c r="BZ57" s="104">
        <v>54</v>
      </c>
      <c r="CA57" s="82">
        <f t="shared" si="51"/>
        <v>246.47245322245323</v>
      </c>
      <c r="CB57" s="82">
        <f t="shared" si="51"/>
        <v>246.47245322245323</v>
      </c>
      <c r="CC57" s="82">
        <f t="shared" si="51"/>
        <v>246.47245322245323</v>
      </c>
      <c r="CD57" s="82">
        <f t="shared" si="51"/>
        <v>246.47245322245323</v>
      </c>
      <c r="CE57" s="82">
        <f t="shared" si="51"/>
        <v>246.47245322245323</v>
      </c>
      <c r="CJ57" s="2"/>
      <c r="CK57" s="2"/>
      <c r="CL57" s="183">
        <v>54</v>
      </c>
      <c r="CM57" s="183">
        <f t="shared" si="23"/>
        <v>593449</v>
      </c>
      <c r="CN57" s="183">
        <v>54</v>
      </c>
      <c r="CO57" s="183">
        <v>593449</v>
      </c>
      <c r="CP57" s="183"/>
      <c r="CQ57" s="183"/>
      <c r="CR57" s="183"/>
      <c r="CS57" s="183"/>
    </row>
    <row r="58" spans="1:97" customFormat="1" ht="14.5" x14ac:dyDescent="0.35">
      <c r="A58">
        <v>55</v>
      </c>
      <c r="B58" s="217">
        <f t="shared" si="52"/>
        <v>89134.416666666672</v>
      </c>
      <c r="C58" s="217">
        <f t="shared" si="52"/>
        <v>89134.416666666672</v>
      </c>
      <c r="D58" s="217">
        <f t="shared" si="52"/>
        <v>89134.416666666672</v>
      </c>
      <c r="E58" s="217">
        <f t="shared" si="52"/>
        <v>89134.416666666672</v>
      </c>
      <c r="F58" s="217">
        <f t="shared" si="52"/>
        <v>89134.416666666672</v>
      </c>
      <c r="G58" s="175"/>
      <c r="H58" s="82"/>
      <c r="I58" s="82"/>
      <c r="J58" s="82"/>
      <c r="K58" s="82"/>
      <c r="L58" s="76">
        <v>55</v>
      </c>
      <c r="M58" s="229">
        <f t="shared" si="37"/>
        <v>93030.583333333328</v>
      </c>
      <c r="N58" s="229">
        <f t="shared" si="37"/>
        <v>93030.583333333328</v>
      </c>
      <c r="O58" s="229">
        <f t="shared" si="37"/>
        <v>93030.583333333328</v>
      </c>
      <c r="P58" s="229">
        <f t="shared" si="37"/>
        <v>93030.583333333328</v>
      </c>
      <c r="Q58" s="229">
        <f t="shared" si="37"/>
        <v>93030.583333333328</v>
      </c>
      <c r="S58" s="80">
        <f t="shared" si="38"/>
        <v>93030.583333333328</v>
      </c>
      <c r="T58" s="80">
        <f t="shared" si="39"/>
        <v>93030.583333333328</v>
      </c>
      <c r="U58" s="80">
        <f t="shared" si="40"/>
        <v>93030.583333333328</v>
      </c>
      <c r="V58" s="80">
        <f t="shared" si="41"/>
        <v>93030.583333333328</v>
      </c>
      <c r="X58" s="104">
        <v>55</v>
      </c>
      <c r="Y58" s="120">
        <v>669278</v>
      </c>
      <c r="Z58" s="121">
        <f t="shared" si="42"/>
        <v>669278</v>
      </c>
      <c r="AA58" s="122">
        <f t="shared" si="43"/>
        <v>1069613</v>
      </c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>
        <f t="shared" si="53"/>
        <v>0</v>
      </c>
      <c r="AM58" s="127">
        <f t="shared" si="53"/>
        <v>0</v>
      </c>
      <c r="AN58" s="127">
        <f t="shared" si="53"/>
        <v>0</v>
      </c>
      <c r="AO58" s="127">
        <f t="shared" si="53"/>
        <v>0</v>
      </c>
      <c r="AP58" s="127"/>
      <c r="AQ58" s="114">
        <f t="shared" si="9"/>
        <v>1069613</v>
      </c>
      <c r="AR58" s="117">
        <f t="shared" si="44"/>
        <v>1069613</v>
      </c>
      <c r="AS58" s="118">
        <f t="shared" si="44"/>
        <v>1069613</v>
      </c>
      <c r="AT58" s="118">
        <f t="shared" si="44"/>
        <v>1069613</v>
      </c>
      <c r="AU58" s="119">
        <f t="shared" si="44"/>
        <v>1069613</v>
      </c>
      <c r="AW58" s="114">
        <v>698533</v>
      </c>
      <c r="AX58" s="118">
        <f t="shared" si="34"/>
        <v>417833.80074700009</v>
      </c>
      <c r="AY58" s="119">
        <f t="shared" si="35"/>
        <v>1116367</v>
      </c>
      <c r="BA58" s="81">
        <f t="shared" si="45"/>
        <v>0</v>
      </c>
      <c r="BB58" s="81">
        <f t="shared" si="46"/>
        <v>0</v>
      </c>
      <c r="BC58" s="81">
        <f t="shared" si="47"/>
        <v>0</v>
      </c>
      <c r="BD58" s="81">
        <f t="shared" si="48"/>
        <v>0</v>
      </c>
      <c r="BE58" s="76"/>
      <c r="BF58" s="81">
        <f t="shared" si="17"/>
        <v>1116367</v>
      </c>
      <c r="BG58" s="81">
        <f t="shared" si="49"/>
        <v>1116367</v>
      </c>
      <c r="BH58" s="81">
        <f t="shared" si="49"/>
        <v>1116367</v>
      </c>
      <c r="BI58" s="81">
        <f t="shared" si="49"/>
        <v>1116367</v>
      </c>
      <c r="BJ58" s="81">
        <f t="shared" si="49"/>
        <v>1116367</v>
      </c>
      <c r="BL58" s="104">
        <v>55</v>
      </c>
      <c r="BM58" s="82">
        <f t="shared" si="26"/>
        <v>555.92999999999995</v>
      </c>
      <c r="BN58" s="82">
        <f t="shared" si="26"/>
        <v>555.92999999999995</v>
      </c>
      <c r="BO58" s="82">
        <f t="shared" si="26"/>
        <v>555.92999999999995</v>
      </c>
      <c r="BP58" s="82">
        <f t="shared" si="26"/>
        <v>555.92999999999995</v>
      </c>
      <c r="BQ58" s="82">
        <f t="shared" si="26"/>
        <v>555.92999999999995</v>
      </c>
      <c r="BS58" s="104">
        <v>55</v>
      </c>
      <c r="BT58" s="82">
        <f t="shared" si="50"/>
        <v>833.89786902286892</v>
      </c>
      <c r="BU58" s="82">
        <f t="shared" si="50"/>
        <v>833.89786902286892</v>
      </c>
      <c r="BV58" s="82">
        <f t="shared" si="50"/>
        <v>833.89786902286892</v>
      </c>
      <c r="BW58" s="82">
        <f t="shared" si="50"/>
        <v>833.89786902286892</v>
      </c>
      <c r="BX58" s="82">
        <f t="shared" si="50"/>
        <v>833.89786902286892</v>
      </c>
      <c r="BZ58" s="104">
        <v>55</v>
      </c>
      <c r="CA58" s="82">
        <f t="shared" si="51"/>
        <v>277.96595634095632</v>
      </c>
      <c r="CB58" s="82">
        <f t="shared" si="51"/>
        <v>277.96595634095632</v>
      </c>
      <c r="CC58" s="82">
        <f t="shared" si="51"/>
        <v>277.96595634095632</v>
      </c>
      <c r="CD58" s="82">
        <f t="shared" si="51"/>
        <v>277.96595634095632</v>
      </c>
      <c r="CE58" s="82">
        <f t="shared" si="51"/>
        <v>277.96595634095632</v>
      </c>
      <c r="CJ58" s="2"/>
      <c r="CK58" s="2"/>
      <c r="CL58" s="183">
        <v>55</v>
      </c>
      <c r="CM58" s="183">
        <f t="shared" si="23"/>
        <v>669278</v>
      </c>
      <c r="CN58" s="183">
        <v>55</v>
      </c>
      <c r="CO58" s="183">
        <v>669278</v>
      </c>
      <c r="CP58" s="183"/>
      <c r="CQ58" s="183"/>
      <c r="CR58" s="183"/>
      <c r="CS58" s="183"/>
    </row>
    <row r="59" spans="1:97" customFormat="1" ht="15" thickBot="1" x14ac:dyDescent="0.4">
      <c r="A59">
        <v>56</v>
      </c>
      <c r="B59" s="217">
        <f t="shared" si="52"/>
        <v>100458.83333333333</v>
      </c>
      <c r="C59" s="217">
        <f t="shared" si="52"/>
        <v>100458.83333333333</v>
      </c>
      <c r="D59" s="217">
        <f t="shared" si="52"/>
        <v>100458.83333333333</v>
      </c>
      <c r="E59" s="217">
        <f t="shared" si="52"/>
        <v>100458.83333333333</v>
      </c>
      <c r="F59" s="217">
        <f t="shared" si="52"/>
        <v>100458.83333333333</v>
      </c>
      <c r="G59" s="175"/>
      <c r="H59" s="82"/>
      <c r="I59" s="82"/>
      <c r="J59" s="82"/>
      <c r="K59" s="82"/>
      <c r="L59" s="76">
        <v>56</v>
      </c>
      <c r="M59" s="229">
        <f t="shared" si="37"/>
        <v>104355.25</v>
      </c>
      <c r="N59" s="229">
        <f t="shared" si="37"/>
        <v>104355.25</v>
      </c>
      <c r="O59" s="229">
        <f t="shared" si="37"/>
        <v>104355.25</v>
      </c>
      <c r="P59" s="229">
        <f t="shared" si="37"/>
        <v>104355.25</v>
      </c>
      <c r="Q59" s="229">
        <f t="shared" si="37"/>
        <v>104355.25</v>
      </c>
      <c r="S59" s="80">
        <f t="shared" si="38"/>
        <v>104355.25</v>
      </c>
      <c r="T59" s="80">
        <f t="shared" si="39"/>
        <v>104355.25</v>
      </c>
      <c r="U59" s="80">
        <f t="shared" si="40"/>
        <v>104355.25</v>
      </c>
      <c r="V59" s="80">
        <f t="shared" si="41"/>
        <v>104355.25</v>
      </c>
      <c r="X59" s="104">
        <v>56</v>
      </c>
      <c r="Y59" s="120">
        <v>754309</v>
      </c>
      <c r="Z59" s="121">
        <f t="shared" si="42"/>
        <v>754309</v>
      </c>
      <c r="AA59" s="122">
        <f t="shared" si="43"/>
        <v>1205506</v>
      </c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>
        <f t="shared" si="53"/>
        <v>0</v>
      </c>
      <c r="AM59" s="127">
        <f t="shared" si="53"/>
        <v>0</v>
      </c>
      <c r="AN59" s="127">
        <f t="shared" si="53"/>
        <v>0</v>
      </c>
      <c r="AO59" s="127">
        <f t="shared" si="53"/>
        <v>0</v>
      </c>
      <c r="AP59" s="127"/>
      <c r="AQ59" s="120">
        <f t="shared" si="9"/>
        <v>1205506</v>
      </c>
      <c r="AR59" s="123">
        <f t="shared" si="44"/>
        <v>1205506</v>
      </c>
      <c r="AS59" s="124">
        <f t="shared" si="44"/>
        <v>1205506</v>
      </c>
      <c r="AT59" s="124">
        <f t="shared" si="44"/>
        <v>1205506</v>
      </c>
      <c r="AU59" s="125">
        <f t="shared" si="44"/>
        <v>1205506</v>
      </c>
      <c r="AW59" s="128">
        <v>783566</v>
      </c>
      <c r="AX59" s="124">
        <f t="shared" si="34"/>
        <v>468697.05499400006</v>
      </c>
      <c r="AY59" s="125">
        <f t="shared" si="35"/>
        <v>1252263</v>
      </c>
      <c r="BA59" s="81">
        <f t="shared" si="45"/>
        <v>0</v>
      </c>
      <c r="BB59" s="81">
        <f t="shared" si="46"/>
        <v>0</v>
      </c>
      <c r="BC59" s="81">
        <f t="shared" si="47"/>
        <v>0</v>
      </c>
      <c r="BD59" s="81">
        <f t="shared" si="48"/>
        <v>0</v>
      </c>
      <c r="BE59" s="76"/>
      <c r="BF59" s="81">
        <f t="shared" si="17"/>
        <v>1252263</v>
      </c>
      <c r="BG59" s="81">
        <f t="shared" si="49"/>
        <v>1252263</v>
      </c>
      <c r="BH59" s="81">
        <f t="shared" si="49"/>
        <v>1252263</v>
      </c>
      <c r="BI59" s="81">
        <f t="shared" si="49"/>
        <v>1252263</v>
      </c>
      <c r="BJ59" s="81">
        <f t="shared" si="49"/>
        <v>1252263</v>
      </c>
      <c r="BL59" s="104">
        <v>56</v>
      </c>
      <c r="BM59" s="82">
        <f t="shared" si="26"/>
        <v>626.55999999999995</v>
      </c>
      <c r="BN59" s="82">
        <f t="shared" si="26"/>
        <v>626.55999999999995</v>
      </c>
      <c r="BO59" s="82">
        <f t="shared" si="26"/>
        <v>626.55999999999995</v>
      </c>
      <c r="BP59" s="82">
        <f t="shared" si="26"/>
        <v>626.55999999999995</v>
      </c>
      <c r="BQ59" s="82">
        <f t="shared" si="26"/>
        <v>626.55999999999995</v>
      </c>
      <c r="BS59" s="104">
        <v>56</v>
      </c>
      <c r="BT59" s="82">
        <f t="shared" si="50"/>
        <v>939.8435550935551</v>
      </c>
      <c r="BU59" s="82">
        <f t="shared" si="50"/>
        <v>939.8435550935551</v>
      </c>
      <c r="BV59" s="82">
        <f t="shared" si="50"/>
        <v>939.8435550935551</v>
      </c>
      <c r="BW59" s="82">
        <f t="shared" si="50"/>
        <v>939.8435550935551</v>
      </c>
      <c r="BX59" s="82">
        <f t="shared" si="50"/>
        <v>939.8435550935551</v>
      </c>
      <c r="BZ59" s="104">
        <v>56</v>
      </c>
      <c r="CA59" s="82">
        <f t="shared" si="51"/>
        <v>313.28118503118503</v>
      </c>
      <c r="CB59" s="82">
        <f t="shared" si="51"/>
        <v>313.28118503118503</v>
      </c>
      <c r="CC59" s="82">
        <f t="shared" si="51"/>
        <v>313.28118503118503</v>
      </c>
      <c r="CD59" s="82">
        <f t="shared" si="51"/>
        <v>313.28118503118503</v>
      </c>
      <c r="CE59" s="82">
        <f t="shared" si="51"/>
        <v>313.28118503118503</v>
      </c>
      <c r="CJ59" s="2"/>
      <c r="CK59" s="2"/>
      <c r="CL59" s="183">
        <v>56</v>
      </c>
      <c r="CM59" s="183">
        <f t="shared" si="23"/>
        <v>754309</v>
      </c>
      <c r="CN59" s="183">
        <v>56</v>
      </c>
      <c r="CO59" s="183">
        <v>754309</v>
      </c>
      <c r="CP59" s="183"/>
      <c r="CQ59" s="183"/>
      <c r="CR59" s="183"/>
      <c r="CS59" s="183"/>
    </row>
    <row r="60" spans="1:97" customFormat="1" x14ac:dyDescent="0.25">
      <c r="G60" s="175"/>
      <c r="L60" s="76"/>
      <c r="M60" s="80"/>
      <c r="N60" s="80"/>
      <c r="O60" s="80"/>
      <c r="P60" s="80"/>
      <c r="Q60" s="80"/>
      <c r="S60" s="80">
        <f t="shared" ref="S60:V61" si="54">(BF60+ROUND((BG60-BF60)/3,0))/12</f>
        <v>0</v>
      </c>
      <c r="T60" s="80">
        <f t="shared" si="54"/>
        <v>0</v>
      </c>
      <c r="U60" s="80">
        <f t="shared" si="54"/>
        <v>0</v>
      </c>
      <c r="V60" s="80">
        <f t="shared" si="54"/>
        <v>0</v>
      </c>
      <c r="X60" s="5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214"/>
      <c r="AS60" s="215"/>
      <c r="AT60" s="215"/>
      <c r="AU60" s="215"/>
      <c r="AX60" s="113"/>
      <c r="BL60" s="5"/>
      <c r="BS60" s="5"/>
      <c r="BZ60" s="5"/>
      <c r="CL60" s="183"/>
      <c r="CM60" s="183"/>
      <c r="CO60" s="183"/>
      <c r="CP60" s="183"/>
      <c r="CQ60" s="183"/>
      <c r="CR60" s="183"/>
      <c r="CS60" s="183"/>
    </row>
    <row r="61" spans="1:97" customFormat="1" x14ac:dyDescent="0.25">
      <c r="G61" s="175"/>
      <c r="L61" s="76"/>
      <c r="M61" s="80"/>
      <c r="N61" s="80"/>
      <c r="O61" s="80"/>
      <c r="P61" s="80"/>
      <c r="Q61" s="80"/>
      <c r="S61" s="80" t="e">
        <f t="shared" si="54"/>
        <v>#VALUE!</v>
      </c>
      <c r="T61" s="80">
        <f t="shared" si="54"/>
        <v>0</v>
      </c>
      <c r="U61" s="80">
        <f t="shared" si="54"/>
        <v>0</v>
      </c>
      <c r="V61" s="80">
        <f t="shared" si="54"/>
        <v>0</v>
      </c>
      <c r="X61" s="5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214"/>
      <c r="AS61" s="215"/>
      <c r="AT61" s="215"/>
      <c r="AU61" s="215"/>
      <c r="AX61" s="113"/>
      <c r="BF61" t="s">
        <v>130</v>
      </c>
      <c r="BL61" s="5"/>
      <c r="BS61" s="5"/>
      <c r="BZ61" s="5"/>
      <c r="CL61" s="183"/>
      <c r="CM61" s="183"/>
      <c r="CO61" s="183"/>
      <c r="CP61" s="183"/>
      <c r="CQ61" s="183"/>
      <c r="CR61" s="183"/>
      <c r="CS61" s="183"/>
    </row>
    <row r="62" spans="1:97" x14ac:dyDescent="0.25">
      <c r="A62">
        <v>50</v>
      </c>
      <c r="BE62" s="76">
        <v>50</v>
      </c>
      <c r="BF62" s="216">
        <f t="shared" ref="BF62:BJ68" si="55">BF53/12</f>
        <v>52391.5</v>
      </c>
      <c r="BG62" s="216">
        <f t="shared" si="55"/>
        <v>52391.5</v>
      </c>
      <c r="BH62" s="216">
        <f t="shared" si="55"/>
        <v>52391.5</v>
      </c>
      <c r="BI62" s="216">
        <f t="shared" si="55"/>
        <v>52391.5</v>
      </c>
      <c r="BJ62" s="216">
        <f t="shared" si="55"/>
        <v>52391.5</v>
      </c>
    </row>
    <row r="63" spans="1:97" x14ac:dyDescent="0.25">
      <c r="A63">
        <v>51</v>
      </c>
      <c r="BE63" s="76">
        <v>51</v>
      </c>
      <c r="BF63" s="216">
        <f t="shared" si="55"/>
        <v>58058.583333333336</v>
      </c>
      <c r="BG63" s="216">
        <f t="shared" si="55"/>
        <v>58058.583333333336</v>
      </c>
      <c r="BH63" s="216">
        <f t="shared" si="55"/>
        <v>58058.583333333336</v>
      </c>
      <c r="BI63" s="216">
        <f t="shared" si="55"/>
        <v>58058.583333333336</v>
      </c>
      <c r="BJ63" s="216">
        <f t="shared" si="55"/>
        <v>58058.583333333336</v>
      </c>
    </row>
    <row r="64" spans="1:97" x14ac:dyDescent="0.25">
      <c r="A64">
        <v>52</v>
      </c>
      <c r="BE64" s="76">
        <v>52</v>
      </c>
      <c r="BF64" s="216">
        <f t="shared" si="55"/>
        <v>66122.666666666672</v>
      </c>
      <c r="BG64" s="216">
        <f t="shared" si="55"/>
        <v>66122.666666666672</v>
      </c>
      <c r="BH64" s="216">
        <f t="shared" si="55"/>
        <v>66122.666666666672</v>
      </c>
      <c r="BI64" s="216">
        <f t="shared" si="55"/>
        <v>66122.666666666672</v>
      </c>
      <c r="BJ64" s="216">
        <f t="shared" si="55"/>
        <v>66122.666666666672</v>
      </c>
    </row>
    <row r="65" spans="1:62" x14ac:dyDescent="0.25">
      <c r="A65">
        <v>53</v>
      </c>
      <c r="BE65" s="76">
        <v>53</v>
      </c>
      <c r="BF65" s="216">
        <f t="shared" si="55"/>
        <v>73605.5</v>
      </c>
      <c r="BG65" s="216">
        <f t="shared" si="55"/>
        <v>73605.5</v>
      </c>
      <c r="BH65" s="216">
        <f t="shared" si="55"/>
        <v>73605.5</v>
      </c>
      <c r="BI65" s="216">
        <f t="shared" si="55"/>
        <v>73605.5</v>
      </c>
      <c r="BJ65" s="216">
        <f t="shared" si="55"/>
        <v>73605.5</v>
      </c>
    </row>
    <row r="66" spans="1:62" x14ac:dyDescent="0.25">
      <c r="A66">
        <v>54</v>
      </c>
      <c r="BE66" s="76">
        <v>54</v>
      </c>
      <c r="BF66" s="216">
        <f t="shared" si="55"/>
        <v>82931.666666666672</v>
      </c>
      <c r="BG66" s="216">
        <f t="shared" si="55"/>
        <v>82931.666666666672</v>
      </c>
      <c r="BH66" s="216">
        <f t="shared" si="55"/>
        <v>82931.666666666672</v>
      </c>
      <c r="BI66" s="216">
        <f t="shared" si="55"/>
        <v>82931.666666666672</v>
      </c>
      <c r="BJ66" s="216">
        <f t="shared" si="55"/>
        <v>82931.666666666672</v>
      </c>
    </row>
    <row r="67" spans="1:62" x14ac:dyDescent="0.25">
      <c r="A67">
        <v>55</v>
      </c>
      <c r="BE67" s="76">
        <v>55</v>
      </c>
      <c r="BF67" s="216">
        <f t="shared" si="55"/>
        <v>93030.583333333328</v>
      </c>
      <c r="BG67" s="216">
        <f t="shared" si="55"/>
        <v>93030.583333333328</v>
      </c>
      <c r="BH67" s="216">
        <f t="shared" si="55"/>
        <v>93030.583333333328</v>
      </c>
      <c r="BI67" s="216">
        <f t="shared" si="55"/>
        <v>93030.583333333328</v>
      </c>
      <c r="BJ67" s="216">
        <f t="shared" si="55"/>
        <v>93030.583333333328</v>
      </c>
    </row>
    <row r="68" spans="1:62" x14ac:dyDescent="0.25">
      <c r="A68">
        <v>56</v>
      </c>
      <c r="BE68" s="76">
        <v>56</v>
      </c>
      <c r="BF68" s="216">
        <f t="shared" si="55"/>
        <v>104355.25</v>
      </c>
      <c r="BG68" s="216">
        <f t="shared" si="55"/>
        <v>104355.25</v>
      </c>
      <c r="BH68" s="216">
        <f t="shared" si="55"/>
        <v>104355.25</v>
      </c>
      <c r="BI68" s="216">
        <f t="shared" si="55"/>
        <v>104355.25</v>
      </c>
      <c r="BJ68" s="216">
        <f t="shared" si="55"/>
        <v>104355.25</v>
      </c>
    </row>
    <row r="70" spans="1:62" x14ac:dyDescent="0.25">
      <c r="A70">
        <v>1</v>
      </c>
      <c r="B70">
        <v>2</v>
      </c>
      <c r="C70">
        <v>3</v>
      </c>
      <c r="D70">
        <v>4</v>
      </c>
      <c r="E70">
        <v>5</v>
      </c>
      <c r="F70">
        <v>6</v>
      </c>
      <c r="G70">
        <v>7</v>
      </c>
      <c r="H70">
        <v>8</v>
      </c>
      <c r="I70">
        <v>9</v>
      </c>
      <c r="J70">
        <v>10</v>
      </c>
      <c r="K70">
        <v>11</v>
      </c>
      <c r="L70">
        <v>12</v>
      </c>
      <c r="M70">
        <v>13</v>
      </c>
      <c r="N70">
        <v>14</v>
      </c>
      <c r="O70">
        <v>15</v>
      </c>
      <c r="P70">
        <v>16</v>
      </c>
      <c r="Q70">
        <v>17</v>
      </c>
      <c r="R70">
        <v>18</v>
      </c>
      <c r="S70">
        <v>19</v>
      </c>
      <c r="T70">
        <v>20</v>
      </c>
      <c r="U70">
        <v>21</v>
      </c>
      <c r="V70">
        <v>22</v>
      </c>
      <c r="W70">
        <v>23</v>
      </c>
      <c r="X70">
        <v>24</v>
      </c>
      <c r="Y70">
        <v>25</v>
      </c>
      <c r="Z70">
        <v>26</v>
      </c>
      <c r="AA70">
        <v>27</v>
      </c>
      <c r="AB70">
        <v>28</v>
      </c>
      <c r="AC70">
        <v>29</v>
      </c>
      <c r="AD70">
        <v>30</v>
      </c>
      <c r="AE70">
        <v>31</v>
      </c>
      <c r="AF70">
        <v>32</v>
      </c>
      <c r="AG70">
        <v>33</v>
      </c>
      <c r="AH70">
        <v>34</v>
      </c>
      <c r="AI70">
        <v>35</v>
      </c>
      <c r="AJ70">
        <v>36</v>
      </c>
      <c r="AK70">
        <v>37</v>
      </c>
      <c r="AL70">
        <v>38</v>
      </c>
      <c r="AM70">
        <v>39</v>
      </c>
      <c r="AN70">
        <v>40</v>
      </c>
      <c r="AO70">
        <v>41</v>
      </c>
      <c r="AP70">
        <v>42</v>
      </c>
      <c r="AQ70">
        <v>43</v>
      </c>
      <c r="AR70">
        <v>44</v>
      </c>
      <c r="AS70">
        <v>45</v>
      </c>
      <c r="AT70">
        <v>46</v>
      </c>
      <c r="AU70">
        <v>47</v>
      </c>
    </row>
    <row r="76" spans="1:62" x14ac:dyDescent="0.25">
      <c r="C76" s="193">
        <v>23827.583333333332</v>
      </c>
      <c r="D76" s="231">
        <f>C76*12.89%</f>
        <v>3071.3754916666667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>
    <pageSetUpPr fitToPage="1"/>
  </sheetPr>
  <dimension ref="B9:O19"/>
  <sheetViews>
    <sheetView showGridLines="0" showRowColHeaders="0" tabSelected="1" workbookViewId="0">
      <selection activeCell="G11" sqref="G11"/>
    </sheetView>
  </sheetViews>
  <sheetFormatPr defaultColWidth="9.1796875" defaultRowHeight="12.5" x14ac:dyDescent="0.25"/>
  <cols>
    <col min="7" max="7" width="10.1796875" bestFit="1" customWidth="1"/>
    <col min="10" max="10" width="10.1796875" bestFit="1" customWidth="1"/>
    <col min="15" max="15" width="10.1796875" bestFit="1" customWidth="1"/>
  </cols>
  <sheetData>
    <row r="9" spans="2:15" x14ac:dyDescent="0.25">
      <c r="O9" s="176"/>
    </row>
    <row r="10" spans="2:15" ht="32.5" customHeight="1" x14ac:dyDescent="0.25">
      <c r="O10" s="176"/>
    </row>
    <row r="11" spans="2:15" ht="14.5" x14ac:dyDescent="0.35">
      <c r="E11" s="175" t="s">
        <v>119</v>
      </c>
      <c r="G11" s="236">
        <v>45778</v>
      </c>
      <c r="I11" t="s">
        <v>47</v>
      </c>
      <c r="J11" s="176">
        <f>VLOOKUP(G11,Lønniveauer,1,TRUE)</f>
        <v>45748</v>
      </c>
      <c r="O11" s="176"/>
    </row>
    <row r="12" spans="2:15" x14ac:dyDescent="0.25">
      <c r="O12" s="176"/>
    </row>
    <row r="13" spans="2:15" ht="26.25" customHeight="1" x14ac:dyDescent="0.3">
      <c r="B13" s="178" t="s">
        <v>120</v>
      </c>
      <c r="C13" s="178"/>
      <c r="D13" s="178" t="s">
        <v>121</v>
      </c>
      <c r="E13" s="178"/>
      <c r="F13" s="178"/>
      <c r="G13" s="178"/>
      <c r="H13" s="178"/>
      <c r="I13" s="177"/>
      <c r="J13" s="177"/>
      <c r="K13" s="177"/>
      <c r="O13" s="176"/>
    </row>
    <row r="14" spans="2:15" x14ac:dyDescent="0.25">
      <c r="B14" t="s">
        <v>114</v>
      </c>
      <c r="D14" s="174" t="s">
        <v>117</v>
      </c>
      <c r="O14" s="176"/>
    </row>
    <row r="15" spans="2:15" x14ac:dyDescent="0.25">
      <c r="O15" s="176"/>
    </row>
    <row r="16" spans="2:15" x14ac:dyDescent="0.25">
      <c r="B16" t="s">
        <v>116</v>
      </c>
      <c r="D16" s="291" t="s">
        <v>107</v>
      </c>
      <c r="E16" s="292"/>
      <c r="F16" s="292"/>
      <c r="G16" s="292"/>
      <c r="H16" s="292"/>
      <c r="I16" s="292"/>
      <c r="J16" s="292"/>
      <c r="K16" s="292"/>
      <c r="O16" s="176"/>
    </row>
    <row r="17" spans="2:15" x14ac:dyDescent="0.25">
      <c r="O17" s="176"/>
    </row>
    <row r="18" spans="2:15" ht="12.65" customHeight="1" x14ac:dyDescent="0.25">
      <c r="B18" t="s">
        <v>115</v>
      </c>
      <c r="D18" s="291" t="s">
        <v>118</v>
      </c>
      <c r="E18" s="292"/>
      <c r="F18" s="292"/>
      <c r="G18" s="292"/>
      <c r="H18" s="292"/>
      <c r="I18" s="292"/>
      <c r="J18" s="292"/>
      <c r="K18" s="292"/>
    </row>
    <row r="19" spans="2:15" x14ac:dyDescent="0.25">
      <c r="D19" s="291"/>
      <c r="E19" s="292"/>
      <c r="F19" s="292"/>
      <c r="G19" s="292"/>
      <c r="H19" s="292"/>
      <c r="I19" s="292"/>
      <c r="J19" s="292"/>
      <c r="K19" s="292"/>
    </row>
  </sheetData>
  <sheetProtection sheet="1" objects="1" scenarios="1" selectLockedCells="1"/>
  <mergeCells count="3">
    <mergeCell ref="D16:K16"/>
    <mergeCell ref="D18:K18"/>
    <mergeCell ref="D19:K19"/>
  </mergeCells>
  <phoneticPr fontId="11" type="noConversion"/>
  <dataValidations count="1">
    <dataValidation type="date" operator="lessThanOrEqual" allowBlank="1" showInputMessage="1" showErrorMessage="1" errorTitle="Lønsatser mangler" error="Der er kun offentliggjort satser frem til den 1. oktober 2025" sqref="G11" xr:uid="{C2F4D213-DFAD-4247-89CD-7ED227265AC5}">
      <formula1>45930</formula1>
    </dataValidation>
  </dataValidations>
  <pageMargins left="0.75" right="0.75" top="1" bottom="1" header="0" footer="0"/>
  <pageSetup paperSize="256" scale="8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pageSetUpPr fitToPage="1"/>
  </sheetPr>
  <dimension ref="A1:U34"/>
  <sheetViews>
    <sheetView showGridLines="0" showRowColHeaders="0" zoomScaleNormal="100" workbookViewId="0">
      <selection activeCell="O7" sqref="O7"/>
    </sheetView>
  </sheetViews>
  <sheetFormatPr defaultColWidth="9.1796875" defaultRowHeight="12.5" x14ac:dyDescent="0.25"/>
  <cols>
    <col min="1" max="2" width="9.1796875" style="14"/>
    <col min="3" max="3" width="16" style="14" customWidth="1"/>
    <col min="4" max="4" width="8.54296875" style="14" customWidth="1"/>
    <col min="5" max="5" width="9.7265625" style="14" customWidth="1"/>
    <col min="6" max="6" width="12.453125" style="14" customWidth="1"/>
    <col min="7" max="8" width="9.1796875" style="14"/>
    <col min="9" max="9" width="10.81640625" style="14" customWidth="1"/>
    <col min="10" max="10" width="7.1796875" style="14" customWidth="1"/>
    <col min="11" max="11" width="10.26953125" style="14" bestFit="1" customWidth="1"/>
    <col min="12" max="16384" width="9.1796875" style="14"/>
  </cols>
  <sheetData>
    <row r="1" spans="1:2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9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9.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x14ac:dyDescent="0.25">
      <c r="A8" s="42"/>
      <c r="B8" s="7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x14ac:dyDescent="0.25">
      <c r="A9" s="42"/>
      <c r="B9" s="7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x14ac:dyDescent="0.25">
      <c r="A10" s="42"/>
      <c r="B10" s="7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5" customHeight="1" x14ac:dyDescent="0.35">
      <c r="A11" s="42"/>
      <c r="B11" s="42"/>
      <c r="C11" s="42"/>
      <c r="D11" s="47" t="s">
        <v>70</v>
      </c>
      <c r="E11" s="42"/>
      <c r="F11" s="87">
        <f>beregningsdato</f>
        <v>45748</v>
      </c>
      <c r="H11" s="137" t="s">
        <v>101</v>
      </c>
      <c r="I11" s="179">
        <v>37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15" customHeight="1" x14ac:dyDescent="0.3">
      <c r="A12" s="42"/>
      <c r="B12" s="42"/>
      <c r="C12" s="42"/>
      <c r="D12" s="47"/>
      <c r="E12" s="42"/>
      <c r="F12" s="8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5">
      <c r="B13" s="14" t="s">
        <v>73</v>
      </c>
    </row>
    <row r="14" spans="1:21" ht="14.5" x14ac:dyDescent="0.35">
      <c r="A14" s="42"/>
      <c r="B14" s="42"/>
      <c r="C14" s="47" t="s">
        <v>78</v>
      </c>
      <c r="E14" s="237">
        <v>8489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6" customHeight="1" x14ac:dyDescent="0.25">
      <c r="A15" s="42"/>
      <c r="B15" s="42"/>
      <c r="C15" s="42"/>
      <c r="D15" s="7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5">
      <c r="A16" s="42"/>
      <c r="B16" s="42"/>
      <c r="D16" s="91"/>
      <c r="E16" s="89" t="s">
        <v>71</v>
      </c>
      <c r="F16" s="89" t="s">
        <v>72</v>
      </c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5">
      <c r="A17" s="42"/>
      <c r="B17" s="42"/>
      <c r="C17" s="139" t="s">
        <v>74</v>
      </c>
      <c r="D17" s="140"/>
      <c r="E17" s="141">
        <f>ROUND(((kr_omregnes*valgt_regulering)/37*I11),0)</f>
        <v>13567</v>
      </c>
      <c r="F17" s="142">
        <f>E17/12</f>
        <v>1130.5833333333333</v>
      </c>
      <c r="M17" s="42"/>
      <c r="N17" s="42"/>
      <c r="O17" s="42"/>
      <c r="P17" s="42"/>
      <c r="Q17" s="42"/>
      <c r="R17" s="42"/>
      <c r="S17" s="42"/>
      <c r="T17" s="42"/>
      <c r="U17" s="42"/>
    </row>
    <row r="19" spans="1:21" ht="2.5" customHeight="1" x14ac:dyDescent="0.25">
      <c r="A19" s="42"/>
      <c r="B19" s="92"/>
      <c r="C19" s="92"/>
      <c r="D19" s="92"/>
      <c r="E19" s="92"/>
      <c r="F19" s="92"/>
      <c r="G19" s="92"/>
      <c r="H19" s="92"/>
      <c r="I19" s="92"/>
      <c r="J19" s="92"/>
    </row>
    <row r="20" spans="1:21" ht="19.149999999999999" customHeight="1" x14ac:dyDescent="0.25">
      <c r="A20" s="42"/>
      <c r="B20" s="14" t="s">
        <v>75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4.5" x14ac:dyDescent="0.35">
      <c r="A21" s="42"/>
      <c r="B21" s="42"/>
      <c r="C21" s="47" t="s">
        <v>76</v>
      </c>
      <c r="E21" s="237">
        <v>1485.6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6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x14ac:dyDescent="0.25">
      <c r="A23" s="42"/>
      <c r="B23" s="42"/>
      <c r="E23" s="89" t="s">
        <v>71</v>
      </c>
      <c r="F23" s="90" t="s">
        <v>72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x14ac:dyDescent="0.25">
      <c r="A24" s="42"/>
      <c r="B24" s="42"/>
      <c r="C24" s="139" t="s">
        <v>77</v>
      </c>
      <c r="D24" s="140"/>
      <c r="E24" s="143">
        <f>ROUND(E21*12/valgt_regulering,0)/I11*37</f>
        <v>11155.000000000002</v>
      </c>
      <c r="F24" s="161">
        <f>E24/12</f>
        <v>929.58333333333348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</sheetData>
  <sheetProtection sheet="1" objects="1" scenarios="1"/>
  <phoneticPr fontId="11" type="noConversion"/>
  <pageMargins left="0.75" right="0.75" top="1" bottom="1" header="0" footer="0"/>
  <pageSetup paperSize="256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W60"/>
  <sheetViews>
    <sheetView showRowColHeaders="0" zoomScale="90" workbookViewId="0">
      <selection activeCell="E28" sqref="E28"/>
    </sheetView>
  </sheetViews>
  <sheetFormatPr defaultColWidth="9.1796875" defaultRowHeight="12.5" x14ac:dyDescent="0.25"/>
  <cols>
    <col min="1" max="1" width="4.453125" style="14" customWidth="1"/>
    <col min="2" max="2" width="18.26953125" style="14" customWidth="1"/>
    <col min="3" max="10" width="9.7265625" style="14" customWidth="1"/>
    <col min="11" max="16384" width="9.1796875" style="14"/>
  </cols>
  <sheetData>
    <row r="1" spans="1:23" s="13" customFormat="1" x14ac:dyDescent="0.25">
      <c r="A1" s="25"/>
      <c r="B1" s="25"/>
      <c r="C1" s="25"/>
      <c r="D1" s="35">
        <v>1.362716</v>
      </c>
      <c r="E1" s="35">
        <v>1.3824959999999999</v>
      </c>
      <c r="F1" s="35">
        <v>1.3980790000000001</v>
      </c>
      <c r="G1" s="35">
        <v>1.018559</v>
      </c>
      <c r="H1" s="35">
        <v>1.040662</v>
      </c>
      <c r="I1" s="35">
        <v>1.0511569999999999</v>
      </c>
      <c r="J1" s="35">
        <v>1.061566</v>
      </c>
      <c r="K1" s="35">
        <v>1.0834220000000001</v>
      </c>
      <c r="L1" s="35">
        <v>1.0886800000000001</v>
      </c>
      <c r="M1" s="35">
        <v>1.0926750000000001</v>
      </c>
      <c r="N1" s="35">
        <v>1.109523</v>
      </c>
      <c r="O1" s="35">
        <v>1.1200380000000001</v>
      </c>
      <c r="P1" s="35">
        <v>1.1244540000000001</v>
      </c>
      <c r="Q1" s="23"/>
      <c r="R1" s="25"/>
      <c r="S1" s="25"/>
      <c r="T1" s="25"/>
      <c r="U1" s="25"/>
      <c r="V1" s="25"/>
      <c r="W1" s="25"/>
    </row>
    <row r="2" spans="1:2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5.5" x14ac:dyDescent="0.35">
      <c r="A7" s="23"/>
      <c r="B7" s="29" t="s">
        <v>18</v>
      </c>
      <c r="C7" s="38">
        <v>1000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13" x14ac:dyDescent="0.3">
      <c r="A10" s="23"/>
      <c r="B10" s="23"/>
      <c r="C10" s="16" t="s">
        <v>43</v>
      </c>
      <c r="D10" s="36"/>
      <c r="E10" s="36"/>
      <c r="F10" s="36"/>
      <c r="G10" s="36"/>
      <c r="H10" s="36"/>
      <c r="I10" s="36"/>
      <c r="J10" s="3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3" x14ac:dyDescent="0.3">
      <c r="A11" s="23"/>
      <c r="B11" s="23"/>
      <c r="C11" s="39">
        <f>Beløb</f>
        <v>1000</v>
      </c>
      <c r="D11" s="16" t="s">
        <v>42</v>
      </c>
      <c r="E11" s="36"/>
      <c r="F11" s="36"/>
      <c r="G11" s="36"/>
      <c r="H11" s="36"/>
      <c r="I11" s="36"/>
      <c r="J11" s="3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3" x14ac:dyDescent="0.3">
      <c r="A12" s="23"/>
      <c r="B12" s="30" t="s">
        <v>19</v>
      </c>
      <c r="C12" s="17">
        <f>Beløb*_1_4_1998</f>
        <v>1362.7160000000001</v>
      </c>
      <c r="D12" s="40">
        <f>Beløb</f>
        <v>1000</v>
      </c>
      <c r="E12" s="16" t="s">
        <v>41</v>
      </c>
      <c r="F12" s="36"/>
      <c r="G12" s="36"/>
      <c r="H12" s="36"/>
      <c r="I12" s="36"/>
      <c r="J12" s="3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3" x14ac:dyDescent="0.3">
      <c r="A13" s="23"/>
      <c r="B13" s="30" t="s">
        <v>20</v>
      </c>
      <c r="C13" s="17">
        <f>Beløb*_1_10_1998</f>
        <v>1382.4959999999999</v>
      </c>
      <c r="D13" s="18">
        <f>Beløb/_1_4_1998*_1_10_1998</f>
        <v>1014.515130078461</v>
      </c>
      <c r="E13" s="40">
        <f>Beløb</f>
        <v>1000</v>
      </c>
      <c r="F13" s="16" t="s">
        <v>40</v>
      </c>
      <c r="G13" s="36"/>
      <c r="H13" s="36"/>
      <c r="I13" s="36"/>
      <c r="J13" s="3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25">
      <c r="A14" s="23"/>
      <c r="B14" s="30" t="s">
        <v>21</v>
      </c>
      <c r="C14" s="17">
        <f>Beløb*_1_4_1999</f>
        <v>1398.0790000000002</v>
      </c>
      <c r="D14" s="18">
        <f>Beløb/_1_4_1998*_1_4_1999</f>
        <v>1025.9503814441161</v>
      </c>
      <c r="E14" s="18">
        <f>Beløb/_1_10_1998*_1_4_1999</f>
        <v>1011.2716420156008</v>
      </c>
      <c r="F14" s="40">
        <f>Beløb</f>
        <v>1000</v>
      </c>
      <c r="G14" s="36"/>
      <c r="H14" s="36"/>
      <c r="I14" s="36"/>
      <c r="J14" s="3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3" x14ac:dyDescent="0.3">
      <c r="A15" s="23"/>
      <c r="B15" s="31" t="s">
        <v>22</v>
      </c>
      <c r="C15" s="19">
        <f>ROUND(C14,-2)</f>
        <v>1400</v>
      </c>
      <c r="D15" s="20">
        <f>ROUND(D14,-2)</f>
        <v>1000</v>
      </c>
      <c r="E15" s="20">
        <f>ROUND(E14,-2)</f>
        <v>1000</v>
      </c>
      <c r="F15" s="20">
        <f>ROUND(F14,-2)</f>
        <v>1000</v>
      </c>
      <c r="G15" s="16" t="s">
        <v>39</v>
      </c>
      <c r="H15" s="36"/>
      <c r="I15" s="36"/>
      <c r="J15" s="3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3" x14ac:dyDescent="0.3">
      <c r="A16" s="23"/>
      <c r="B16" s="32" t="s">
        <v>23</v>
      </c>
      <c r="C16" s="21">
        <f>Nyt_beløb_1*_1_4_2000</f>
        <v>1425.9826</v>
      </c>
      <c r="D16" s="22">
        <f>Nyt_beløb_2*_1_4_2000</f>
        <v>1018.559</v>
      </c>
      <c r="E16" s="22">
        <f>Nyt_beløb_3*_1_4_2000</f>
        <v>1018.559</v>
      </c>
      <c r="F16" s="22">
        <f>Nyt_beløb_4*_1_4_2000</f>
        <v>1018.559</v>
      </c>
      <c r="G16" s="40">
        <f>Beløb</f>
        <v>1000</v>
      </c>
      <c r="H16" s="16" t="s">
        <v>38</v>
      </c>
      <c r="I16" s="36"/>
      <c r="J16" s="36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5" customFormat="1" ht="13" x14ac:dyDescent="0.3">
      <c r="A17" s="28"/>
      <c r="B17" s="33" t="s">
        <v>24</v>
      </c>
      <c r="C17" s="17">
        <f>Nyt_beløb_1*_1_4_2001</f>
        <v>1456.9268</v>
      </c>
      <c r="D17" s="17">
        <f>Nyt_beløb_2*_1_4_2001</f>
        <v>1040.662</v>
      </c>
      <c r="E17" s="17">
        <f>Nyt_beløb_3*_1_4_2001</f>
        <v>1040.662</v>
      </c>
      <c r="F17" s="17">
        <f>Nyt_beløb_4*_1_4_2001</f>
        <v>1040.662</v>
      </c>
      <c r="G17" s="17">
        <f>beløb_4_00/_1_4_2000*_1_4_2001</f>
        <v>1021.7002647858396</v>
      </c>
      <c r="H17" s="40">
        <f>Beløb</f>
        <v>1000</v>
      </c>
      <c r="I17" s="16" t="s">
        <v>37</v>
      </c>
      <c r="J17" s="37"/>
      <c r="K17" s="28"/>
      <c r="L17" s="28"/>
      <c r="M17" s="28"/>
      <c r="N17" s="28"/>
      <c r="O17" s="23"/>
      <c r="P17" s="23"/>
      <c r="Q17" s="23"/>
      <c r="R17" s="28"/>
      <c r="S17" s="28"/>
      <c r="T17" s="28"/>
      <c r="U17" s="28"/>
      <c r="V17" s="28"/>
      <c r="W17" s="28"/>
    </row>
    <row r="18" spans="1:23" s="15" customFormat="1" ht="13" x14ac:dyDescent="0.3">
      <c r="A18" s="28"/>
      <c r="B18" s="33" t="s">
        <v>25</v>
      </c>
      <c r="C18" s="17">
        <f>Nyt_beløb_1*_1_10_2001</f>
        <v>1471.6197999999999</v>
      </c>
      <c r="D18" s="17">
        <f>Nyt_beløb_2*_1_10_2001</f>
        <v>1051.1569999999999</v>
      </c>
      <c r="E18" s="17">
        <f>Nyt_beløb_3*_1_10_2001</f>
        <v>1051.1569999999999</v>
      </c>
      <c r="F18" s="17">
        <f>Nyt_beløb_4*_1_10_2001</f>
        <v>1051.1569999999999</v>
      </c>
      <c r="G18" s="17">
        <f>beløb_4_00/_1_4_2000*_1_10_2001</f>
        <v>1032.0040370759082</v>
      </c>
      <c r="H18" s="17">
        <f>beløb_4_01/_1_4_2001*_1_10_2001</f>
        <v>1010.0849267101133</v>
      </c>
      <c r="I18" s="40">
        <f>Beløb</f>
        <v>1000</v>
      </c>
      <c r="J18" s="16" t="s">
        <v>36</v>
      </c>
      <c r="K18" s="28"/>
      <c r="L18" s="28"/>
      <c r="M18" s="28"/>
      <c r="N18" s="28"/>
      <c r="O18" s="23"/>
      <c r="P18" s="23"/>
      <c r="Q18" s="23"/>
      <c r="R18" s="28"/>
      <c r="S18" s="28"/>
      <c r="T18" s="28"/>
      <c r="U18" s="28"/>
      <c r="V18" s="28"/>
      <c r="W18" s="28"/>
    </row>
    <row r="19" spans="1:23" ht="13" x14ac:dyDescent="0.3">
      <c r="A19" s="23"/>
      <c r="B19" s="34" t="s">
        <v>26</v>
      </c>
      <c r="C19" s="17">
        <f>Nyt_beløb_1*_1_4_2002</f>
        <v>1486.1923999999999</v>
      </c>
      <c r="D19" s="17">
        <f>Nyt_beløb_2*_1_4_2002</f>
        <v>1061.566</v>
      </c>
      <c r="E19" s="17">
        <f>Nyt_beløb_3*_1_4_2002</f>
        <v>1061.566</v>
      </c>
      <c r="F19" s="17">
        <f>Nyt_beløb_4*_1_4_2002</f>
        <v>1061.566</v>
      </c>
      <c r="G19" s="17">
        <f>beløb_4_00/_1_4_2000*_1_4_2002</f>
        <v>1042.2233763581687</v>
      </c>
      <c r="H19" s="17">
        <f>beløb_4_01/_1_4_2001*_1_4_2002</f>
        <v>1020.0872137158848</v>
      </c>
      <c r="I19" s="17">
        <f>beløb_10_01/_1_10_2001*_1_4_2002</f>
        <v>1009.9024218075892</v>
      </c>
      <c r="J19" s="40">
        <f>Beløb</f>
        <v>1000</v>
      </c>
      <c r="K19" s="16" t="s">
        <v>35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3" x14ac:dyDescent="0.3">
      <c r="A20" s="23"/>
      <c r="B20" s="33" t="s">
        <v>27</v>
      </c>
      <c r="C20" s="17">
        <f>Nyt_beløb_1*_1_4_2003</f>
        <v>1516.7908000000002</v>
      </c>
      <c r="D20" s="17">
        <f>Nyt_beløb_2*_1_4_2003</f>
        <v>1083.422</v>
      </c>
      <c r="E20" s="17">
        <f>Nyt_beløb_3*_1_4_2003</f>
        <v>1083.422</v>
      </c>
      <c r="F20" s="17">
        <f>Nyt_beløb_4*_1_4_2003</f>
        <v>1083.422</v>
      </c>
      <c r="G20" s="17">
        <f>beløb_4_00/_1_4_2000*_1_4_2003</f>
        <v>1063.6811416913504</v>
      </c>
      <c r="H20" s="17">
        <f>beløb_4_01/_1_4_2001*_1_4_2003</f>
        <v>1041.0892297403002</v>
      </c>
      <c r="I20" s="17">
        <f>beløb_10_01/_1_10_2001*_1_4_2003</f>
        <v>1030.6947487387708</v>
      </c>
      <c r="J20" s="17">
        <f>beløb_4_02/_1_4_2002*_1_4_2003</f>
        <v>1020.5884514010435</v>
      </c>
      <c r="K20" s="40">
        <f>Beløb</f>
        <v>1000</v>
      </c>
      <c r="L20" s="16" t="s">
        <v>34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3" x14ac:dyDescent="0.3">
      <c r="A21" s="23"/>
      <c r="B21" s="30" t="s">
        <v>28</v>
      </c>
      <c r="C21" s="17">
        <f>Nyt_beløb_1*_1_8_2003</f>
        <v>1524.152</v>
      </c>
      <c r="D21" s="17">
        <f>Nyt_beløb_2*_1_8_2003</f>
        <v>1088.68</v>
      </c>
      <c r="E21" s="17">
        <f>Nyt_beløb_3*_1_8_2003</f>
        <v>1088.68</v>
      </c>
      <c r="F21" s="17">
        <f>Nyt_beløb_4*_1_8_2003</f>
        <v>1088.68</v>
      </c>
      <c r="G21" s="17">
        <f>beløb_4_00/_1_4_2000*_1_8_2003</f>
        <v>1068.8433365175706</v>
      </c>
      <c r="H21" s="17">
        <f>beløb_4_01/_1_4_2001*_1_8_2003</f>
        <v>1046.1417828267008</v>
      </c>
      <c r="I21" s="17">
        <f>beløb_10_01/_1_10_2001*_1_8_2003</f>
        <v>1035.6968559406446</v>
      </c>
      <c r="J21" s="17">
        <f>beløb_4_02/_1_4_2002*_1_8_2003</f>
        <v>1025.5415113144168</v>
      </c>
      <c r="K21" s="17">
        <f>beløb_4_03/_1_4_2003*_1_8_2003</f>
        <v>1004.853141250593</v>
      </c>
      <c r="L21" s="40">
        <f>Beløb</f>
        <v>1000</v>
      </c>
      <c r="M21" s="16" t="s"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3" x14ac:dyDescent="0.3">
      <c r="A22" s="23"/>
      <c r="B22" s="30" t="s">
        <v>29</v>
      </c>
      <c r="C22" s="17">
        <f>Nyt_beløb_1*_1_10_2003</f>
        <v>1529.7450000000001</v>
      </c>
      <c r="D22" s="17">
        <f>Nyt_beløb_2*_1_10_2003</f>
        <v>1092.675</v>
      </c>
      <c r="E22" s="17">
        <f>Nyt_beløb_3*_1_10_2003</f>
        <v>1092.675</v>
      </c>
      <c r="F22" s="17">
        <f>Nyt_beløb_4*_1_10_2003</f>
        <v>1092.675</v>
      </c>
      <c r="G22" s="17">
        <f>beløb_4_00/_1_4_2000*_1_10_2003</f>
        <v>1072.7655442640043</v>
      </c>
      <c r="H22" s="17">
        <f>beløb_4_01/_1_4_2001*_1_10_2003</f>
        <v>1049.9806853714272</v>
      </c>
      <c r="I22" s="17">
        <f>beløb_4_01/_1_4_2001*_1_10_2003</f>
        <v>1049.9806853714272</v>
      </c>
      <c r="J22" s="17">
        <f>beløb_4_02/_1_4_2002*_1_10_2003</f>
        <v>1029.3048194836686</v>
      </c>
      <c r="K22" s="17">
        <f>beløb_4_03/_1_4_2003*_1_10_2003</f>
        <v>1008.5405317595545</v>
      </c>
      <c r="L22" s="17">
        <f>beløb_8_03/_1_8_2003*_1_10_2003</f>
        <v>1003.6695815115553</v>
      </c>
      <c r="M22" s="40">
        <f>Beløb</f>
        <v>1000</v>
      </c>
      <c r="N22" s="16" t="s">
        <v>30</v>
      </c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3" x14ac:dyDescent="0.3">
      <c r="A23" s="23"/>
      <c r="B23" s="30" t="s">
        <v>30</v>
      </c>
      <c r="C23" s="17">
        <f>Nyt_beløb_1*_1_4_2004</f>
        <v>1553.3322000000001</v>
      </c>
      <c r="D23" s="17">
        <f>Nyt_beløb_2*_1_4_2004</f>
        <v>1109.5230000000001</v>
      </c>
      <c r="E23" s="17">
        <f>Nyt_beløb_3*_1_4_2004</f>
        <v>1109.5230000000001</v>
      </c>
      <c r="F23" s="17">
        <f>Nyt_beløb_4*_1_4_2004</f>
        <v>1109.5230000000001</v>
      </c>
      <c r="G23" s="17">
        <f>beløb_4_00/_1_4_2000*_1_4_2004</f>
        <v>1089.3065595611056</v>
      </c>
      <c r="H23" s="17">
        <f>beløb_4_01/_1_4_2001*_1_4_2004</f>
        <v>1066.1703800081104</v>
      </c>
      <c r="I23" s="17">
        <f>beløb_4_01/_1_4_2001*_1_4_2004</f>
        <v>1066.1703800081104</v>
      </c>
      <c r="J23" s="17">
        <f>beløb_4_02/_1_4_2002*_1_4_2004</f>
        <v>1045.1757121083381</v>
      </c>
      <c r="K23" s="17">
        <f>beløb_4_03/_1_4_2003*_1_4_2004</f>
        <v>1024.091258992341</v>
      </c>
      <c r="L23" s="17">
        <f>beløb_8_03/_1_8_2003*_1_4_2004</f>
        <v>1019.1452033655436</v>
      </c>
      <c r="M23" s="17">
        <f>beløb_10_03/_1_10_2003*_1_4_2004</f>
        <v>1015.4190404283066</v>
      </c>
      <c r="N23" s="40">
        <f>Beløb</f>
        <v>1000</v>
      </c>
      <c r="O23" s="16" t="s">
        <v>31</v>
      </c>
      <c r="P23" s="23"/>
      <c r="Q23" s="23"/>
      <c r="R23" s="23"/>
      <c r="S23" s="23"/>
      <c r="T23" s="23"/>
      <c r="U23" s="23"/>
      <c r="V23" s="23"/>
      <c r="W23" s="23"/>
    </row>
    <row r="24" spans="1:23" ht="13" x14ac:dyDescent="0.3">
      <c r="A24" s="25"/>
      <c r="B24" s="30" t="s">
        <v>31</v>
      </c>
      <c r="C24" s="17">
        <f>Nyt_beløb_1*_1_8_2004</f>
        <v>1568.0532000000001</v>
      </c>
      <c r="D24" s="17">
        <f>Nyt_beløb_2*_1_8_2004</f>
        <v>1120.038</v>
      </c>
      <c r="E24" s="17">
        <f>Nyt_beløb_3*_1_8_2004</f>
        <v>1120.038</v>
      </c>
      <c r="F24" s="17">
        <f>Nyt_beløb_4*_1_8_2004</f>
        <v>1120.038</v>
      </c>
      <c r="G24" s="17">
        <f>beløb_4_00/_1_4_2000*_1_8_2004</f>
        <v>1099.6299674343854</v>
      </c>
      <c r="H24" s="17">
        <f>beløb_4_01/_1_4_2001*_1_8_2004</f>
        <v>1076.2745252541172</v>
      </c>
      <c r="I24" s="17">
        <f>beløb_4_01/_1_4_2001*_1_8_2004</f>
        <v>1076.2745252541172</v>
      </c>
      <c r="J24" s="17">
        <f>beløb_4_02/_1_4_2002*_1_8_2004</f>
        <v>1055.0808899305366</v>
      </c>
      <c r="K24" s="17">
        <f>beløb_4_03/_1_4_2003*_1_8_2004</f>
        <v>1033.7966184921481</v>
      </c>
      <c r="L24" s="17">
        <f>beløb_8_03/_1_8_2003*_1_8_2004</f>
        <v>1028.8036888709262</v>
      </c>
      <c r="M24" s="17">
        <f>beløb_10_03/_1_10_2003*_1_8_2004</f>
        <v>1025.0422129178392</v>
      </c>
      <c r="N24" s="17">
        <f>beløb_4_04/_1_4_2004*_1_8_2004</f>
        <v>1009.4770455411921</v>
      </c>
      <c r="O24" s="40">
        <f>Beløb</f>
        <v>1000</v>
      </c>
      <c r="P24" s="16" t="s">
        <v>32</v>
      </c>
      <c r="Q24" s="23"/>
      <c r="R24" s="23"/>
      <c r="S24" s="23"/>
      <c r="T24" s="23"/>
      <c r="U24" s="23"/>
      <c r="V24" s="23"/>
      <c r="W24" s="23"/>
    </row>
    <row r="25" spans="1:23" x14ac:dyDescent="0.25">
      <c r="A25" s="25"/>
      <c r="B25" s="30" t="s">
        <v>32</v>
      </c>
      <c r="C25" s="17">
        <f>Nyt_beløb_1*_1_10_2004</f>
        <v>1574.2356</v>
      </c>
      <c r="D25" s="17">
        <f>Nyt_beløb_2*_1_10_2004</f>
        <v>1124.4540000000002</v>
      </c>
      <c r="E25" s="17">
        <f>Nyt_beløb_3*_1_10_2004</f>
        <v>1124.4540000000002</v>
      </c>
      <c r="F25" s="17">
        <f>Nyt_beløb_4*_1_10_2004</f>
        <v>1124.4540000000002</v>
      </c>
      <c r="G25" s="17">
        <f>beløb_4_00/_1_4_2000*_1_10_2004</f>
        <v>1103.9655042074146</v>
      </c>
      <c r="H25" s="17">
        <f>beløb_4_01/_1_4_2001*_1_10_2004</f>
        <v>1080.5179779794016</v>
      </c>
      <c r="I25" s="17">
        <f>beløb_4_01/_1_4_2001*_1_10_2004</f>
        <v>1080.5179779794016</v>
      </c>
      <c r="J25" s="17">
        <f>beløb_4_02/_1_4_2002*_1_10_2004</f>
        <v>1059.2407820144956</v>
      </c>
      <c r="K25" s="17">
        <f>beløb_4_03/_1_4_2003*_1_10_2004</f>
        <v>1037.8725925816534</v>
      </c>
      <c r="L25" s="17">
        <f>beløb_8_03/_1_8_2003*_1_10_2004</f>
        <v>1032.8599772201198</v>
      </c>
      <c r="M25" s="17">
        <f>beløb_10_03/_1_10_2003*_1_10_2004</f>
        <v>1029.0836708078798</v>
      </c>
      <c r="N25" s="17">
        <f>beløb_4_04/_1_4_2004*_1_10_2004</f>
        <v>1013.4571342820293</v>
      </c>
      <c r="O25" s="17">
        <f>beløb_8_04/_1_8_2004*_1_10_2004</f>
        <v>1003.9427233718856</v>
      </c>
      <c r="P25" s="40">
        <f>Beløb</f>
        <v>1000</v>
      </c>
      <c r="Q25" s="23"/>
      <c r="R25" s="23"/>
      <c r="S25" s="23"/>
      <c r="T25" s="23"/>
      <c r="U25" s="23"/>
      <c r="V25" s="23"/>
      <c r="W25" s="23"/>
    </row>
    <row r="26" spans="1:23" x14ac:dyDescent="0.25">
      <c r="A26" s="25"/>
      <c r="B26" s="26"/>
      <c r="C26" s="26"/>
      <c r="D26" s="25"/>
      <c r="E26" s="25"/>
      <c r="F26" s="25"/>
      <c r="G26" s="25"/>
      <c r="H26" s="25"/>
      <c r="I26" s="25"/>
      <c r="J26" s="25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5">
      <c r="A27" s="25"/>
      <c r="B27" s="26"/>
      <c r="C27" s="26"/>
      <c r="D27" s="25"/>
      <c r="E27" s="25"/>
      <c r="F27" s="25"/>
      <c r="G27" s="25"/>
      <c r="H27" s="25"/>
      <c r="I27" s="25"/>
      <c r="J27" s="25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x14ac:dyDescent="0.25">
      <c r="A28" s="25"/>
      <c r="B28" s="25"/>
      <c r="C28" s="26"/>
      <c r="D28" s="25"/>
      <c r="E28" s="25"/>
      <c r="F28" s="25"/>
      <c r="G28" s="25"/>
      <c r="H28" s="25"/>
      <c r="I28" s="25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x14ac:dyDescent="0.25">
      <c r="A29" s="25"/>
      <c r="B29" s="25"/>
      <c r="C29" s="26"/>
      <c r="D29" s="25"/>
      <c r="E29" s="25"/>
      <c r="F29" s="25"/>
      <c r="G29" s="25"/>
      <c r="H29" s="25"/>
      <c r="I29" s="25"/>
      <c r="J29" s="25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x14ac:dyDescent="0.25">
      <c r="A30" s="23"/>
      <c r="B30" s="27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x14ac:dyDescent="0.25">
      <c r="A31" s="23"/>
      <c r="B31" s="27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</sheetData>
  <sheetProtection selectLockedCells="1"/>
  <phoneticPr fontId="0" type="noConversion"/>
  <pageMargins left="0.75" right="0.75" top="1" bottom="1" header="0.5" footer="0.5"/>
  <pageSetup paperSize="9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/>
  <dimension ref="A1:U54"/>
  <sheetViews>
    <sheetView showRowColHeaders="0" workbookViewId="0">
      <selection activeCell="D6" sqref="D6"/>
    </sheetView>
  </sheetViews>
  <sheetFormatPr defaultColWidth="9.1796875" defaultRowHeight="12.5" x14ac:dyDescent="0.25"/>
  <cols>
    <col min="1" max="1" width="13" style="42" customWidth="1"/>
    <col min="2" max="2" width="35.54296875" style="14" customWidth="1"/>
    <col min="3" max="3" width="11.26953125" style="14" bestFit="1" customWidth="1"/>
    <col min="4" max="4" width="9.1796875" style="14"/>
    <col min="5" max="5" width="2.453125" style="42" customWidth="1"/>
    <col min="6" max="6" width="5" style="42" customWidth="1"/>
    <col min="7" max="7" width="2.453125" style="42" customWidth="1"/>
    <col min="8" max="8" width="11.7265625" style="42" customWidth="1"/>
    <col min="9" max="21" width="9.1796875" style="42"/>
    <col min="22" max="16384" width="9.1796875" style="14"/>
  </cols>
  <sheetData>
    <row r="1" spans="1:8" ht="13" x14ac:dyDescent="0.3">
      <c r="A1" s="74">
        <v>3</v>
      </c>
      <c r="B1" s="42"/>
      <c r="C1" s="42"/>
      <c r="D1" s="42"/>
    </row>
    <row r="2" spans="1:8" ht="91.5" customHeight="1" x14ac:dyDescent="0.25">
      <c r="A2" s="41"/>
      <c r="B2" s="293"/>
      <c r="C2" s="294"/>
      <c r="D2" s="294"/>
      <c r="E2" s="294"/>
      <c r="F2" s="294"/>
      <c r="G2" s="294"/>
      <c r="H2" s="294"/>
    </row>
    <row r="3" spans="1:8" ht="32.25" customHeight="1" x14ac:dyDescent="0.3">
      <c r="B3" s="49" t="s">
        <v>17</v>
      </c>
      <c r="C3" s="84" t="e">
        <f>Forside!#REF!</f>
        <v>#REF!</v>
      </c>
      <c r="D3" s="42"/>
      <c r="H3" s="50"/>
    </row>
    <row r="4" spans="1:8" x14ac:dyDescent="0.25">
      <c r="B4" s="42"/>
      <c r="C4" s="42"/>
      <c r="D4" s="42"/>
    </row>
    <row r="5" spans="1:8" x14ac:dyDescent="0.25">
      <c r="B5" s="103" t="s">
        <v>8</v>
      </c>
      <c r="C5" s="133"/>
      <c r="D5" s="134">
        <v>3</v>
      </c>
    </row>
    <row r="6" spans="1:8" x14ac:dyDescent="0.25">
      <c r="B6" s="103" t="s">
        <v>13</v>
      </c>
      <c r="C6" s="133"/>
      <c r="D6" s="134">
        <v>37</v>
      </c>
    </row>
    <row r="7" spans="1:8" x14ac:dyDescent="0.25">
      <c r="B7" s="103" t="s">
        <v>104</v>
      </c>
      <c r="C7" s="133"/>
      <c r="D7" s="134">
        <v>13.89</v>
      </c>
    </row>
    <row r="8" spans="1:8" x14ac:dyDescent="0.25">
      <c r="B8" s="103" t="s">
        <v>45</v>
      </c>
      <c r="C8" s="133"/>
      <c r="D8" s="134">
        <v>1.95</v>
      </c>
    </row>
    <row r="9" spans="1:8" ht="3" customHeight="1" x14ac:dyDescent="0.25">
      <c r="B9" s="42"/>
      <c r="C9" s="42"/>
      <c r="D9" s="42"/>
    </row>
    <row r="10" spans="1:8" x14ac:dyDescent="0.25">
      <c r="B10" s="96" t="s">
        <v>14</v>
      </c>
      <c r="C10" s="94" t="s">
        <v>10</v>
      </c>
      <c r="D10" s="95" t="s">
        <v>11</v>
      </c>
    </row>
    <row r="11" spans="1:8" x14ac:dyDescent="0.25">
      <c r="B11" s="93" t="s">
        <v>9</v>
      </c>
      <c r="C11" s="135">
        <v>18</v>
      </c>
      <c r="D11" s="135">
        <v>19</v>
      </c>
    </row>
    <row r="12" spans="1:8" ht="3" customHeight="1" x14ac:dyDescent="0.25">
      <c r="B12" s="42"/>
      <c r="C12" s="42"/>
      <c r="D12" s="42"/>
    </row>
    <row r="13" spans="1:8" x14ac:dyDescent="0.25">
      <c r="B13" s="42" t="s">
        <v>12</v>
      </c>
      <c r="C13" s="43">
        <f>(VLOOKUP(til_trin,Lønark!A5:F61,løngruppe+2,FALSE)-VLOOKUP(fra_trin,Lønark!A5:F61,løngruppe+2,FALSE))/37*timetal*12</f>
        <v>4547.0000000000146</v>
      </c>
      <c r="D13" s="42"/>
    </row>
    <row r="14" spans="1:8" x14ac:dyDescent="0.25">
      <c r="B14" s="42" t="s">
        <v>102</v>
      </c>
      <c r="C14" s="43" t="e">
        <f>(VLOOKUP(til_trin,Lønark!H5:L61,løngruppe+2,FALSE)-VLOOKUP(fra_trin,Lønark!H5:L61,løngruppe+2,FALSE))/37*timetal*pensionsstatus%*12</f>
        <v>#N/A</v>
      </c>
      <c r="D14" s="44"/>
    </row>
    <row r="15" spans="1:8" x14ac:dyDescent="0.25">
      <c r="B15" s="45" t="s">
        <v>48</v>
      </c>
      <c r="C15" s="46">
        <f>ferie_pct%*C13</f>
        <v>88.666500000000283</v>
      </c>
      <c r="D15" s="42"/>
    </row>
    <row r="16" spans="1:8" ht="13.5" thickBot="1" x14ac:dyDescent="0.35">
      <c r="B16" s="47" t="s">
        <v>82</v>
      </c>
      <c r="C16" s="48" t="e">
        <f>ROUND(SUM(C13:C15),0)</f>
        <v>#N/A</v>
      </c>
      <c r="D16" s="42"/>
    </row>
    <row r="17" s="42" customFormat="1" ht="13" thickTop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</sheetData>
  <sheetProtection selectLockedCells="1"/>
  <mergeCells count="1">
    <mergeCell ref="B2:H2"/>
  </mergeCells>
  <phoneticPr fontId="0" type="noConversion"/>
  <dataValidations count="3">
    <dataValidation type="whole" allowBlank="1" showInputMessage="1" showErrorMessage="1" errorTitle="Forkert angivelse af løngruppe" error="Løngruppe skal være 0, 1, 2, 3 eller 4" sqref="D5" xr:uid="{00000000-0002-0000-0600-000000000000}">
      <formula1>0</formula1>
      <formula2>4</formula2>
    </dataValidation>
    <dataValidation type="whole" allowBlank="1" showInputMessage="1" showErrorMessage="1" sqref="C11" xr:uid="{00000000-0002-0000-0600-000001000000}">
      <formula1>11</formula1>
      <formula2>55</formula2>
    </dataValidation>
    <dataValidation type="whole" allowBlank="1" showInputMessage="1" showErrorMessage="1" sqref="D11" xr:uid="{00000000-0002-0000-0600-000002000000}">
      <formula1>12</formula1>
      <formula2>56</formula2>
    </dataValidation>
  </dataValidations>
  <pageMargins left="0.75" right="0.75" top="1" bottom="1" header="0" footer="0"/>
  <pageSetup paperSize="9" orientation="portrait" horizontalDpi="4294967292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70" r:id="rId4" name="CommandButton1">
          <controlPr defaultSize="0" autoLine="0" r:id="rId5">
            <anchor moveWithCells="1">
              <from>
                <xdr:col>1</xdr:col>
                <xdr:colOff>1600200</xdr:colOff>
                <xdr:row>18</xdr:row>
                <xdr:rowOff>114300</xdr:rowOff>
              </from>
              <to>
                <xdr:col>2</xdr:col>
                <xdr:colOff>508000</xdr:colOff>
                <xdr:row>20</xdr:row>
                <xdr:rowOff>120650</xdr:rowOff>
              </to>
            </anchor>
          </controlPr>
        </control>
      </mc:Choice>
      <mc:Fallback>
        <control shapeId="2070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1"/>
  <dimension ref="A1:X32"/>
  <sheetViews>
    <sheetView showGridLines="0" showRowColHeaders="0" workbookViewId="0">
      <selection activeCell="D6" sqref="D6"/>
    </sheetView>
  </sheetViews>
  <sheetFormatPr defaultRowHeight="12.5" x14ac:dyDescent="0.25"/>
  <cols>
    <col min="1" max="1" width="10.1796875" style="67" customWidth="1"/>
    <col min="2" max="2" width="27.26953125" style="53" customWidth="1"/>
    <col min="3" max="3" width="29.453125" style="53" customWidth="1"/>
    <col min="4" max="4" width="25" style="53" customWidth="1"/>
    <col min="5" max="5" width="3.1796875" style="53" customWidth="1"/>
    <col min="6" max="6" width="4.1796875" style="53" customWidth="1"/>
    <col min="7" max="7" width="3.1796875" style="53" customWidth="1"/>
    <col min="8" max="8" width="12.54296875" style="53" customWidth="1"/>
    <col min="9" max="24" width="9.1796875" style="53"/>
  </cols>
  <sheetData>
    <row r="1" spans="1:8" ht="130.5" customHeight="1" x14ac:dyDescent="0.25">
      <c r="A1" s="41">
        <v>2</v>
      </c>
      <c r="B1" s="73"/>
    </row>
    <row r="2" spans="1:8" x14ac:dyDescent="0.25">
      <c r="B2" s="59"/>
      <c r="D2" s="55"/>
    </row>
    <row r="3" spans="1:8" ht="13" x14ac:dyDescent="0.3">
      <c r="B3" s="59"/>
      <c r="C3" s="85" t="s">
        <v>70</v>
      </c>
      <c r="D3" s="86" t="e">
        <f>Forside!#REF!</f>
        <v>#REF!</v>
      </c>
      <c r="H3" s="60"/>
    </row>
    <row r="4" spans="1:8" ht="13" x14ac:dyDescent="0.3">
      <c r="B4" s="59"/>
      <c r="D4" s="55"/>
      <c r="F4" s="60"/>
      <c r="G4" s="60"/>
      <c r="H4" s="60"/>
    </row>
    <row r="5" spans="1:8" ht="13" x14ac:dyDescent="0.3">
      <c r="A5" s="68" t="e">
        <f>VLOOKUP(dummy,reg_procenter,2,FALSE)</f>
        <v>#NAME?</v>
      </c>
      <c r="C5" s="97" t="s">
        <v>49</v>
      </c>
      <c r="D5" s="146">
        <v>12900</v>
      </c>
      <c r="E5" s="47"/>
    </row>
    <row r="6" spans="1:8" ht="13" x14ac:dyDescent="0.3">
      <c r="A6" s="68"/>
      <c r="C6" s="97" t="s">
        <v>13</v>
      </c>
      <c r="D6" s="136">
        <v>30</v>
      </c>
      <c r="E6" s="47"/>
    </row>
    <row r="7" spans="1:8" x14ac:dyDescent="0.25">
      <c r="B7" s="59"/>
      <c r="C7" s="97" t="s">
        <v>103</v>
      </c>
      <c r="D7" s="136">
        <v>13.89</v>
      </c>
    </row>
    <row r="8" spans="1:8" x14ac:dyDescent="0.25">
      <c r="B8" s="59"/>
      <c r="C8" s="97" t="s">
        <v>46</v>
      </c>
      <c r="D8" s="136">
        <v>1.95</v>
      </c>
    </row>
    <row r="9" spans="1:8" x14ac:dyDescent="0.25">
      <c r="D9" s="61"/>
    </row>
    <row r="10" spans="1:8" ht="13" x14ac:dyDescent="0.3">
      <c r="B10" s="295"/>
      <c r="C10" s="296"/>
      <c r="D10" s="62"/>
    </row>
    <row r="11" spans="1:8" ht="26.25" customHeight="1" x14ac:dyDescent="0.3">
      <c r="C11" s="63" t="s">
        <v>80</v>
      </c>
      <c r="D11" s="98" t="s">
        <v>79</v>
      </c>
    </row>
    <row r="12" spans="1:8" x14ac:dyDescent="0.25">
      <c r="B12" s="53" t="s">
        <v>12</v>
      </c>
      <c r="C12" s="83">
        <f>kr*valgt_regulering/37*timetal</f>
        <v>16715.879270270274</v>
      </c>
      <c r="D12" s="99">
        <f>beløb/12</f>
        <v>1392.9899391891895</v>
      </c>
    </row>
    <row r="13" spans="1:8" x14ac:dyDescent="0.25">
      <c r="B13" s="53" t="s">
        <v>102</v>
      </c>
      <c r="C13" s="64">
        <f>beløb*pensionsstatus%</f>
        <v>2321.8356306405408</v>
      </c>
      <c r="D13" s="100">
        <f>C13/12</f>
        <v>193.48630255337841</v>
      </c>
    </row>
    <row r="14" spans="1:8" x14ac:dyDescent="0.25">
      <c r="B14" s="70" t="s">
        <v>48</v>
      </c>
      <c r="C14" s="65">
        <f>D8%*(C12)</f>
        <v>325.95964577027036</v>
      </c>
      <c r="D14" s="101">
        <f>C14/12</f>
        <v>27.163303814189195</v>
      </c>
    </row>
    <row r="15" spans="1:8" ht="13.5" thickBot="1" x14ac:dyDescent="0.35">
      <c r="B15" s="52" t="s">
        <v>81</v>
      </c>
      <c r="C15" s="102">
        <f>ROUND(SUM(C12:C14),0)</f>
        <v>19364</v>
      </c>
      <c r="D15" s="69">
        <f>ROUND(SUM(D12:D14),0)</f>
        <v>1614</v>
      </c>
    </row>
    <row r="16" spans="1:8" ht="13" thickTop="1" x14ac:dyDescent="0.25"/>
    <row r="29" spans="2:10" x14ac:dyDescent="0.25">
      <c r="B29" s="66"/>
      <c r="C29" s="66"/>
      <c r="D29" s="66"/>
      <c r="E29" s="66"/>
      <c r="F29" s="66"/>
      <c r="G29" s="66"/>
      <c r="H29" s="66"/>
      <c r="I29" s="66"/>
      <c r="J29" s="66"/>
    </row>
    <row r="30" spans="2:10" x14ac:dyDescent="0.25">
      <c r="B30" s="66"/>
      <c r="C30" s="66"/>
      <c r="D30" s="66"/>
      <c r="E30" s="66"/>
      <c r="F30" s="66"/>
      <c r="G30" s="66"/>
      <c r="H30" s="66"/>
      <c r="I30" s="66"/>
      <c r="J30" s="66"/>
    </row>
    <row r="31" spans="2:10" x14ac:dyDescent="0.25">
      <c r="B31" s="66"/>
      <c r="C31" s="66"/>
      <c r="D31" s="66"/>
      <c r="E31" s="66"/>
      <c r="F31" s="66"/>
      <c r="G31" s="66"/>
      <c r="H31" s="66"/>
      <c r="I31" s="66"/>
      <c r="J31" s="66"/>
    </row>
    <row r="32" spans="2:10" x14ac:dyDescent="0.25">
      <c r="B32" s="66"/>
      <c r="C32" s="66"/>
      <c r="D32" s="66"/>
      <c r="E32" s="66"/>
      <c r="F32" s="66"/>
      <c r="G32" s="66"/>
      <c r="H32" s="66"/>
      <c r="I32" s="66"/>
      <c r="J32" s="66"/>
    </row>
  </sheetData>
  <sheetProtection selectLockedCells="1"/>
  <mergeCells count="1">
    <mergeCell ref="B10:C10"/>
  </mergeCells>
  <phoneticPr fontId="0" type="noConversion"/>
  <pageMargins left="0.75" right="0.75" top="1" bottom="1" header="0" footer="0"/>
  <pageSetup paperSize="9" orientation="portrait" horizontalDpi="4294967292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2" r:id="rId4" name="CommandButton1">
          <controlPr defaultSize="0" autoLine="0" r:id="rId5">
            <anchor moveWithCells="1">
              <from>
                <xdr:col>2</xdr:col>
                <xdr:colOff>546100</xdr:colOff>
                <xdr:row>17</xdr:row>
                <xdr:rowOff>69850</xdr:rowOff>
              </from>
              <to>
                <xdr:col>2</xdr:col>
                <xdr:colOff>1936750</xdr:colOff>
                <xdr:row>19</xdr:row>
                <xdr:rowOff>76200</xdr:rowOff>
              </to>
            </anchor>
          </controlPr>
        </control>
      </mc:Choice>
      <mc:Fallback>
        <control shapeId="12292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2">
    <pageSetUpPr fitToPage="1"/>
  </sheetPr>
  <dimension ref="A1:Y61"/>
  <sheetViews>
    <sheetView showGridLines="0" showRowColHeaders="0" zoomScaleNormal="100" workbookViewId="0">
      <selection activeCell="E14" sqref="E14"/>
    </sheetView>
  </sheetViews>
  <sheetFormatPr defaultColWidth="8.81640625" defaultRowHeight="12.5" x14ac:dyDescent="0.25"/>
  <cols>
    <col min="1" max="1" width="8.81640625" style="42" customWidth="1"/>
    <col min="2" max="2" width="53.26953125" style="14" customWidth="1"/>
    <col min="3" max="3" width="13.26953125" style="14" bestFit="1" customWidth="1"/>
    <col min="4" max="4" width="1.6328125" style="273" customWidth="1"/>
    <col min="5" max="5" width="11.26953125" style="14" bestFit="1" customWidth="1"/>
    <col min="6" max="6" width="1.26953125" style="14" customWidth="1"/>
    <col min="7" max="7" width="1.6328125" style="280" customWidth="1"/>
    <col min="8" max="8" width="15" style="42" customWidth="1"/>
    <col min="9" max="10" width="9.1796875" style="42" customWidth="1"/>
    <col min="11" max="11" width="12" style="42" customWidth="1"/>
    <col min="12" max="25" width="9.1796875" style="42" customWidth="1"/>
    <col min="26" max="16384" width="8.81640625" style="14"/>
  </cols>
  <sheetData>
    <row r="1" spans="1:19" ht="161.15" customHeight="1" x14ac:dyDescent="0.3">
      <c r="A1" s="41">
        <v>2</v>
      </c>
      <c r="B1" s="49" t="s">
        <v>17</v>
      </c>
      <c r="C1" s="84">
        <f>beregningsdato</f>
        <v>45748</v>
      </c>
      <c r="D1" s="272"/>
      <c r="E1" s="49"/>
      <c r="F1" s="49"/>
      <c r="G1" s="279"/>
      <c r="H1" s="49"/>
    </row>
    <row r="2" spans="1:19" ht="4.9000000000000004" customHeight="1" x14ac:dyDescent="0.25">
      <c r="B2" s="42"/>
      <c r="C2" s="42"/>
      <c r="E2" s="42"/>
      <c r="F2" s="42"/>
    </row>
    <row r="3" spans="1:19" ht="12.75" customHeight="1" x14ac:dyDescent="0.25">
      <c r="B3" s="14" t="s">
        <v>90</v>
      </c>
      <c r="C3" s="42"/>
      <c r="E3" s="42"/>
      <c r="F3" s="42"/>
    </row>
    <row r="4" spans="1:19" ht="12.75" customHeight="1" x14ac:dyDescent="0.35">
      <c r="B4" s="103" t="s">
        <v>8</v>
      </c>
      <c r="C4" s="179">
        <v>4</v>
      </c>
      <c r="E4" s="42"/>
      <c r="F4" s="42"/>
    </row>
    <row r="5" spans="1:19" ht="12.75" customHeight="1" x14ac:dyDescent="0.35">
      <c r="B5" s="103" t="s">
        <v>104</v>
      </c>
      <c r="C5" s="238">
        <v>0.1429</v>
      </c>
      <c r="E5" s="42"/>
      <c r="F5" s="42"/>
      <c r="S5" s="88"/>
    </row>
    <row r="6" spans="1:19" ht="14.5" x14ac:dyDescent="0.35">
      <c r="B6" s="148" t="s">
        <v>138</v>
      </c>
      <c r="C6" s="238">
        <v>2.4799999999999999E-2</v>
      </c>
      <c r="E6" s="42"/>
      <c r="F6" s="42"/>
    </row>
    <row r="7" spans="1:19" ht="13" x14ac:dyDescent="0.3">
      <c r="B7" s="42"/>
      <c r="C7" s="42"/>
      <c r="E7" s="42"/>
      <c r="F7" s="42"/>
      <c r="K7" s="54"/>
    </row>
    <row r="8" spans="1:19" ht="2.5" customHeight="1" x14ac:dyDescent="0.25">
      <c r="B8" s="42"/>
      <c r="C8" s="42"/>
      <c r="E8" s="42"/>
      <c r="F8" s="42"/>
    </row>
    <row r="9" spans="1:19" ht="13" x14ac:dyDescent="0.3">
      <c r="B9" s="147" t="s">
        <v>106</v>
      </c>
      <c r="C9" s="47" t="s">
        <v>94</v>
      </c>
      <c r="D9" s="272"/>
      <c r="E9" s="47" t="s">
        <v>95</v>
      </c>
      <c r="F9" s="42"/>
    </row>
    <row r="10" spans="1:19" ht="2.5" customHeight="1" x14ac:dyDescent="0.25">
      <c r="C10" s="42"/>
      <c r="E10" s="42"/>
      <c r="F10" s="42"/>
    </row>
    <row r="11" spans="1:19" x14ac:dyDescent="0.25">
      <c r="B11" s="45" t="s">
        <v>91</v>
      </c>
      <c r="C11" s="45" t="s">
        <v>92</v>
      </c>
      <c r="D11" s="274"/>
      <c r="E11" s="45"/>
      <c r="F11" s="42"/>
    </row>
    <row r="12" spans="1:19" ht="3.75" customHeight="1" x14ac:dyDescent="0.3">
      <c r="B12" s="42"/>
      <c r="C12" s="90"/>
      <c r="D12" s="275"/>
      <c r="E12" s="42"/>
      <c r="F12" s="42"/>
    </row>
    <row r="13" spans="1:19" ht="14.5" x14ac:dyDescent="0.35">
      <c r="B13" s="103" t="s">
        <v>93</v>
      </c>
      <c r="C13" s="180">
        <v>24</v>
      </c>
      <c r="D13" s="275"/>
      <c r="E13" s="180">
        <v>25</v>
      </c>
      <c r="F13" s="42"/>
    </row>
    <row r="14" spans="1:19" ht="3.75" customHeight="1" x14ac:dyDescent="0.25">
      <c r="B14" s="42"/>
      <c r="C14" s="42"/>
      <c r="E14" s="42"/>
      <c r="F14" s="42"/>
    </row>
    <row r="15" spans="1:19" ht="14.5" x14ac:dyDescent="0.35">
      <c r="B15" s="148" t="s">
        <v>137</v>
      </c>
      <c r="C15" s="181"/>
      <c r="D15" s="276"/>
      <c r="E15" s="181"/>
      <c r="F15" s="42"/>
    </row>
    <row r="16" spans="1:19" ht="3.75" customHeight="1" x14ac:dyDescent="0.25">
      <c r="B16" s="42"/>
      <c r="C16" s="42"/>
      <c r="E16" s="42"/>
      <c r="F16" s="42"/>
    </row>
    <row r="17" spans="1:25" ht="4.5" customHeight="1" x14ac:dyDescent="0.25">
      <c r="B17" s="42"/>
      <c r="C17" s="42"/>
      <c r="E17" s="42"/>
      <c r="F17" s="42"/>
      <c r="G17" s="281"/>
    </row>
    <row r="18" spans="1:25" s="137" customFormat="1" ht="25.5" customHeight="1" x14ac:dyDescent="0.3">
      <c r="A18" s="47"/>
      <c r="B18" s="47"/>
      <c r="C18" s="47" t="s">
        <v>94</v>
      </c>
      <c r="D18" s="272"/>
      <c r="E18" s="47" t="s">
        <v>95</v>
      </c>
      <c r="F18" s="42"/>
      <c r="G18" s="281"/>
      <c r="H18" s="173" t="str">
        <f>"Difference"&amp;IF(C24&gt;E24," (lønnedgang)"," (lønstigning)")</f>
        <v>Difference (lønstigning)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4.5" x14ac:dyDescent="0.35">
      <c r="B19" s="103" t="s">
        <v>13</v>
      </c>
      <c r="C19" s="179">
        <v>37</v>
      </c>
      <c r="E19" s="179">
        <v>37</v>
      </c>
      <c r="F19" s="42"/>
      <c r="G19" s="281"/>
      <c r="H19" s="150">
        <f>-(C19-timetal_ny)</f>
        <v>0</v>
      </c>
    </row>
    <row r="20" spans="1:25" x14ac:dyDescent="0.25">
      <c r="B20" s="45"/>
      <c r="C20" s="45"/>
      <c r="D20" s="274"/>
      <c r="E20" s="45"/>
      <c r="F20" s="45"/>
      <c r="G20" s="282"/>
      <c r="H20" s="151"/>
    </row>
    <row r="21" spans="1:25" x14ac:dyDescent="0.25">
      <c r="B21" s="42" t="s">
        <v>96</v>
      </c>
      <c r="C21" s="56">
        <f>(VLOOKUP(C13,Lønark!$A$4:$F$59,$C$4+2,FALSE)+((C15)*valgt_regulering/12))/37*C19</f>
        <v>29835.25</v>
      </c>
      <c r="D21" s="277">
        <f>(VLOOKUP(C13,Lønark!$L$4:$Q$59,$C$4+2,FALSE)+((C15)*valgt_regulering/12))/37*C19</f>
        <v>29835.25</v>
      </c>
      <c r="E21" s="56">
        <f>(VLOOKUP(E13,Lønark!$A$4:$F$59,$C$4+2,FALSE)+((E15)*valgt_regulering/12))/37*E19</f>
        <v>30251.416666666668</v>
      </c>
      <c r="F21" s="56"/>
      <c r="G21" s="283">
        <f>(VLOOKUP(E13,Lønark!$L$4:$Q$59,$C$4+2,FALSE)+((E15)*valgt_regulering/12))/37*E19</f>
        <v>30251.416666666668</v>
      </c>
      <c r="H21" s="152">
        <f>E21-C21</f>
        <v>416.16666666666788</v>
      </c>
    </row>
    <row r="22" spans="1:25" x14ac:dyDescent="0.25">
      <c r="B22" s="42" t="s">
        <v>102</v>
      </c>
      <c r="C22" s="56">
        <f>D21*$C5</f>
        <v>4263.4572250000001</v>
      </c>
      <c r="D22" s="276"/>
      <c r="E22" s="56">
        <f>G21*$C5</f>
        <v>4322.9274416666667</v>
      </c>
      <c r="F22" s="56"/>
      <c r="G22" s="281"/>
      <c r="H22" s="152">
        <f>E22-C22</f>
        <v>59.470216666666602</v>
      </c>
    </row>
    <row r="23" spans="1:25" x14ac:dyDescent="0.25">
      <c r="B23" s="45" t="s">
        <v>48</v>
      </c>
      <c r="C23" s="58">
        <f>$C$6*C21</f>
        <v>739.91419999999994</v>
      </c>
      <c r="D23" s="276"/>
      <c r="E23" s="58">
        <f>$C$6*E21</f>
        <v>750.23513333333335</v>
      </c>
      <c r="F23" s="138"/>
      <c r="G23" s="281"/>
      <c r="H23" s="152">
        <f>E23-C23</f>
        <v>10.320933333333414</v>
      </c>
    </row>
    <row r="24" spans="1:25" ht="13.5" thickBot="1" x14ac:dyDescent="0.35">
      <c r="B24" s="47" t="s">
        <v>97</v>
      </c>
      <c r="C24" s="48">
        <f>SUM(C21:C23)</f>
        <v>34838.621424999998</v>
      </c>
      <c r="D24" s="276"/>
      <c r="E24" s="48">
        <f>SUM(E21:E23)</f>
        <v>35324.579241666666</v>
      </c>
      <c r="F24" s="54"/>
      <c r="G24" s="281"/>
      <c r="H24" s="153">
        <f>E24-C24</f>
        <v>485.9578166666688</v>
      </c>
    </row>
    <row r="25" spans="1:25" ht="13" thickTop="1" x14ac:dyDescent="0.25">
      <c r="B25" s="42"/>
      <c r="C25" s="43"/>
      <c r="D25" s="276"/>
      <c r="E25" s="43"/>
      <c r="F25" s="56"/>
      <c r="G25" s="281"/>
      <c r="H25" s="152"/>
    </row>
    <row r="26" spans="1:25" x14ac:dyDescent="0.25">
      <c r="B26" s="42" t="s">
        <v>98</v>
      </c>
      <c r="C26" s="56">
        <f t="shared" ref="C26:C27" si="0">C21*12</f>
        <v>358023</v>
      </c>
      <c r="D26" s="276"/>
      <c r="E26" s="56">
        <f t="shared" ref="E26" si="1">E21*12</f>
        <v>363017</v>
      </c>
      <c r="F26" s="56"/>
      <c r="G26" s="281"/>
      <c r="H26" s="152">
        <f>E26-C26</f>
        <v>4994</v>
      </c>
    </row>
    <row r="27" spans="1:25" x14ac:dyDescent="0.25">
      <c r="B27" s="42" t="s">
        <v>105</v>
      </c>
      <c r="C27" s="56">
        <f t="shared" si="0"/>
        <v>51161.486700000001</v>
      </c>
      <c r="D27" s="276"/>
      <c r="E27" s="56">
        <f t="shared" ref="E27" si="2">E22*12</f>
        <v>51875.129300000001</v>
      </c>
      <c r="F27" s="56"/>
      <c r="G27" s="281"/>
      <c r="H27" s="152">
        <f>E27-C27</f>
        <v>713.64259999999922</v>
      </c>
      <c r="K27" s="88"/>
    </row>
    <row r="28" spans="1:25" x14ac:dyDescent="0.25">
      <c r="B28" s="45" t="s">
        <v>99</v>
      </c>
      <c r="C28" s="58">
        <f>C23*12</f>
        <v>8878.9703999999983</v>
      </c>
      <c r="D28" s="276"/>
      <c r="E28" s="58">
        <f>E23*12</f>
        <v>9002.8215999999993</v>
      </c>
      <c r="F28" s="138"/>
      <c r="G28" s="281"/>
      <c r="H28" s="152">
        <f>E28-C28</f>
        <v>123.85120000000097</v>
      </c>
      <c r="K28" s="88"/>
    </row>
    <row r="29" spans="1:25" ht="13.5" thickBot="1" x14ac:dyDescent="0.35">
      <c r="B29" s="47" t="s">
        <v>100</v>
      </c>
      <c r="C29" s="48">
        <f>SUM(C26:C28)</f>
        <v>418063.4571</v>
      </c>
      <c r="D29" s="276"/>
      <c r="E29" s="48">
        <f>SUM(E26:E28)</f>
        <v>423894.95090000005</v>
      </c>
      <c r="F29" s="54"/>
      <c r="G29" s="281"/>
      <c r="H29" s="153">
        <f>E29-C29</f>
        <v>5831.4938000000548</v>
      </c>
      <c r="K29" s="88"/>
    </row>
    <row r="30" spans="1:25" ht="5.25" customHeight="1" thickTop="1" x14ac:dyDescent="0.25">
      <c r="B30" s="42"/>
      <c r="C30" s="42"/>
      <c r="E30" s="42"/>
      <c r="F30" s="42"/>
      <c r="H30" s="154"/>
      <c r="K30" s="88"/>
    </row>
    <row r="31" spans="1:25" ht="18.75" customHeight="1" thickBot="1" x14ac:dyDescent="0.35">
      <c r="B31" s="155" t="s">
        <v>108</v>
      </c>
      <c r="C31" s="156">
        <f>ROUND(VLOOKUP(C13,Lønark!$A$4:$AU$59,$C$4+43,FALSE)/1924,2)+ROUND(C15*valgt_regulering/1924,2)</f>
        <v>186.08</v>
      </c>
      <c r="D31" s="278">
        <f>D26/timetal_ny*37/1924</f>
        <v>0</v>
      </c>
      <c r="E31" s="156">
        <f>ROUND(VLOOKUP(E13,Lønark!$A$4:$AU$59,$C$4+43,FALSE)/1924,2)+ROUND(E15*valgt_regulering/1924,2)</f>
        <v>188.68</v>
      </c>
      <c r="F31" s="157"/>
      <c r="G31" s="284"/>
      <c r="H31" s="149">
        <f>E31-C31</f>
        <v>2.5999999999999943</v>
      </c>
      <c r="K31" s="88"/>
    </row>
    <row r="32" spans="1:25" ht="13" thickTop="1" x14ac:dyDescent="0.25">
      <c r="B32" s="42"/>
      <c r="C32" s="42"/>
      <c r="E32" s="42"/>
      <c r="F32" s="42"/>
    </row>
    <row r="33" spans="2:6" x14ac:dyDescent="0.25">
      <c r="B33" s="42"/>
      <c r="C33" s="158"/>
      <c r="E33" s="42"/>
      <c r="F33" s="42"/>
    </row>
    <row r="34" spans="2:6" x14ac:dyDescent="0.25">
      <c r="B34" s="42"/>
      <c r="C34" s="42"/>
      <c r="E34" s="42"/>
      <c r="F34" s="42"/>
    </row>
    <row r="35" spans="2:6" x14ac:dyDescent="0.25">
      <c r="B35" s="42"/>
      <c r="C35" s="42"/>
      <c r="E35" s="42"/>
      <c r="F35" s="42"/>
    </row>
    <row r="36" spans="2:6" x14ac:dyDescent="0.25">
      <c r="B36" s="42"/>
      <c r="C36" s="42"/>
      <c r="E36" s="42"/>
      <c r="F36" s="42"/>
    </row>
    <row r="37" spans="2:6" x14ac:dyDescent="0.25">
      <c r="B37" s="42"/>
      <c r="C37" s="42"/>
      <c r="E37" s="42"/>
      <c r="F37" s="42"/>
    </row>
    <row r="38" spans="2:6" x14ac:dyDescent="0.25">
      <c r="B38" s="42"/>
      <c r="C38" s="42"/>
      <c r="E38" s="42"/>
      <c r="F38" s="42"/>
    </row>
    <row r="39" spans="2:6" x14ac:dyDescent="0.25">
      <c r="B39" s="42"/>
      <c r="C39" s="42"/>
      <c r="E39" s="42"/>
      <c r="F39" s="42"/>
    </row>
    <row r="40" spans="2:6" x14ac:dyDescent="0.25">
      <c r="B40" s="42"/>
      <c r="C40" s="42"/>
      <c r="E40" s="42"/>
      <c r="F40" s="42"/>
    </row>
    <row r="41" spans="2:6" x14ac:dyDescent="0.25">
      <c r="B41" s="42"/>
      <c r="C41" s="42"/>
      <c r="E41" s="42"/>
      <c r="F41" s="42"/>
    </row>
    <row r="42" spans="2:6" x14ac:dyDescent="0.25">
      <c r="B42" s="42"/>
      <c r="C42" s="42"/>
      <c r="E42" s="42"/>
      <c r="F42" s="42"/>
    </row>
    <row r="43" spans="2:6" x14ac:dyDescent="0.25">
      <c r="B43" s="42"/>
      <c r="C43" s="42"/>
      <c r="E43" s="42"/>
      <c r="F43" s="42"/>
    </row>
    <row r="44" spans="2:6" x14ac:dyDescent="0.25">
      <c r="B44" s="42"/>
      <c r="C44" s="42"/>
      <c r="E44" s="42"/>
      <c r="F44" s="42"/>
    </row>
    <row r="45" spans="2:6" x14ac:dyDescent="0.25">
      <c r="B45" s="42"/>
      <c r="C45" s="42"/>
      <c r="E45" s="42"/>
      <c r="F45" s="42"/>
    </row>
    <row r="46" spans="2:6" x14ac:dyDescent="0.25">
      <c r="B46" s="42"/>
      <c r="C46" s="42"/>
      <c r="E46" s="42"/>
      <c r="F46" s="42"/>
    </row>
    <row r="47" spans="2:6" x14ac:dyDescent="0.25">
      <c r="B47" s="42"/>
      <c r="C47" s="42"/>
      <c r="E47" s="42"/>
      <c r="F47" s="42"/>
    </row>
    <row r="48" spans="2:6" x14ac:dyDescent="0.25">
      <c r="B48" s="42"/>
      <c r="C48" s="42"/>
      <c r="E48" s="42"/>
      <c r="F48" s="42"/>
    </row>
    <row r="49" spans="2:7" x14ac:dyDescent="0.25">
      <c r="B49" s="42"/>
      <c r="C49" s="42"/>
      <c r="E49" s="42"/>
      <c r="F49" s="42"/>
    </row>
    <row r="50" spans="2:7" x14ac:dyDescent="0.25">
      <c r="B50" s="42"/>
      <c r="C50" s="42"/>
      <c r="E50" s="42"/>
      <c r="F50" s="42"/>
    </row>
    <row r="51" spans="2:7" x14ac:dyDescent="0.25">
      <c r="B51" s="42"/>
      <c r="C51" s="42"/>
      <c r="E51" s="42"/>
      <c r="F51" s="42"/>
    </row>
    <row r="52" spans="2:7" s="42" customFormat="1" x14ac:dyDescent="0.25">
      <c r="D52" s="273"/>
      <c r="G52" s="280"/>
    </row>
    <row r="53" spans="2:7" s="42" customFormat="1" x14ac:dyDescent="0.25">
      <c r="D53" s="273"/>
      <c r="G53" s="280"/>
    </row>
    <row r="54" spans="2:7" s="42" customFormat="1" x14ac:dyDescent="0.25">
      <c r="D54" s="273"/>
      <c r="G54" s="280"/>
    </row>
    <row r="55" spans="2:7" s="42" customFormat="1" x14ac:dyDescent="0.25">
      <c r="D55" s="273"/>
      <c r="G55" s="280"/>
    </row>
    <row r="56" spans="2:7" s="42" customFormat="1" x14ac:dyDescent="0.25">
      <c r="D56" s="273"/>
      <c r="G56" s="280"/>
    </row>
    <row r="57" spans="2:7" s="42" customFormat="1" x14ac:dyDescent="0.25">
      <c r="D57" s="273"/>
      <c r="G57" s="280"/>
    </row>
    <row r="58" spans="2:7" s="42" customFormat="1" x14ac:dyDescent="0.25">
      <c r="D58" s="273"/>
      <c r="G58" s="280"/>
    </row>
    <row r="59" spans="2:7" s="42" customFormat="1" x14ac:dyDescent="0.25">
      <c r="D59" s="273"/>
      <c r="G59" s="280"/>
    </row>
    <row r="60" spans="2:7" s="42" customFormat="1" x14ac:dyDescent="0.25">
      <c r="D60" s="273"/>
      <c r="G60" s="280"/>
    </row>
    <row r="61" spans="2:7" s="42" customFormat="1" x14ac:dyDescent="0.25">
      <c r="D61" s="273"/>
      <c r="G61" s="280"/>
    </row>
  </sheetData>
  <phoneticPr fontId="0" type="noConversion"/>
  <dataValidations count="2">
    <dataValidation type="whole" allowBlank="1" showInputMessage="1" showErrorMessage="1" errorTitle="Forkert angivelse af løngruppe" error="Løngruppe skal være 0, 1, 2, 3 eller 4" sqref="C4" xr:uid="{00000000-0002-0000-0900-000000000000}">
      <formula1>0</formula1>
      <formula2>4</formula2>
    </dataValidation>
    <dataValidation type="whole" allowBlank="1" showInputMessage="1" showErrorMessage="1" errorTitle="Forkert angivelse af løntrin" error="Angiv løntrin mellem 11 og 50" sqref="C13 E13" xr:uid="{00000000-0002-0000-0900-000001000000}">
      <formula1>11</formula1>
      <formula2>56</formula2>
    </dataValidation>
  </dataValidations>
  <pageMargins left="0.75" right="0.75" top="1" bottom="1" header="0" footer="0"/>
  <pageSetup paperSize="256" scale="74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78</vt:i4>
      </vt:variant>
    </vt:vector>
  </HeadingPairs>
  <TitlesOfParts>
    <vt:vector size="88" baseType="lpstr">
      <vt:lpstr>gl. til nyt niveau</vt:lpstr>
      <vt:lpstr>reguleringsprocenter</vt:lpstr>
      <vt:lpstr>Lønark</vt:lpstr>
      <vt:lpstr>Forside</vt:lpstr>
      <vt:lpstr>Omregner</vt:lpstr>
      <vt:lpstr>Omregningstabel </vt:lpstr>
      <vt:lpstr>Tillæg_trin</vt:lpstr>
      <vt:lpstr>Tillæg_kr</vt:lpstr>
      <vt:lpstr>Op_ned i tid</vt:lpstr>
      <vt:lpstr>Samlet_omk</vt:lpstr>
      <vt:lpstr>_1_10_1998</vt:lpstr>
      <vt:lpstr>_1_10_2001</vt:lpstr>
      <vt:lpstr>_1_10_2003</vt:lpstr>
      <vt:lpstr>_1_10_2004</vt:lpstr>
      <vt:lpstr>_1_4_1998</vt:lpstr>
      <vt:lpstr>_1_4_1999</vt:lpstr>
      <vt:lpstr>_1_4_2000</vt:lpstr>
      <vt:lpstr>_1_4_2001</vt:lpstr>
      <vt:lpstr>_1_4_2002</vt:lpstr>
      <vt:lpstr>_1_4_2003</vt:lpstr>
      <vt:lpstr>_1_4_2004</vt:lpstr>
      <vt:lpstr>_1_8_2003</vt:lpstr>
      <vt:lpstr>_1_8_2004</vt:lpstr>
      <vt:lpstr>'Omregningstabel '!Beløb</vt:lpstr>
      <vt:lpstr>Tillæg_kr!beløb</vt:lpstr>
      <vt:lpstr>beløb_10_01</vt:lpstr>
      <vt:lpstr>beløb_10_03</vt:lpstr>
      <vt:lpstr>beløb_10_04</vt:lpstr>
      <vt:lpstr>beløb_4_00</vt:lpstr>
      <vt:lpstr>beløb_4_01</vt:lpstr>
      <vt:lpstr>beløb_4_02</vt:lpstr>
      <vt:lpstr>beløb_4_03</vt:lpstr>
      <vt:lpstr>beløb_4_04</vt:lpstr>
      <vt:lpstr>beløb_8_03</vt:lpstr>
      <vt:lpstr>beløb_8_04</vt:lpstr>
      <vt:lpstr>beregningsdato</vt:lpstr>
      <vt:lpstr>Tillæg_kr!dummy</vt:lpstr>
      <vt:lpstr>faktor</vt:lpstr>
      <vt:lpstr>ferie_pct</vt:lpstr>
      <vt:lpstr>Samlet_omk!fra_trin</vt:lpstr>
      <vt:lpstr>fra_trin</vt:lpstr>
      <vt:lpstr>grundsats_inkl._lavtløn</vt:lpstr>
      <vt:lpstr>Kolonnetillæg</vt:lpstr>
      <vt:lpstr>Tillæg_kr!kr</vt:lpstr>
      <vt:lpstr>kr_omregnes</vt:lpstr>
      <vt:lpstr>Lavtløn</vt:lpstr>
      <vt:lpstr>Samlet_omk!løngruppe</vt:lpstr>
      <vt:lpstr>Tillæg_kr!løngruppe</vt:lpstr>
      <vt:lpstr>løngruppe</vt:lpstr>
      <vt:lpstr>lønniveau</vt:lpstr>
      <vt:lpstr>Lønniveauer</vt:lpstr>
      <vt:lpstr>løntabel</vt:lpstr>
      <vt:lpstr>meritløn</vt:lpstr>
      <vt:lpstr>Nyt_beløb_1</vt:lpstr>
      <vt:lpstr>Nyt_beløb_2</vt:lpstr>
      <vt:lpstr>Nyt_beløb_3</vt:lpstr>
      <vt:lpstr>Nyt_beløb_4</vt:lpstr>
      <vt:lpstr>opslag_niveauer</vt:lpstr>
      <vt:lpstr>Optrapningsløn</vt:lpstr>
      <vt:lpstr>Optrapningspension</vt:lpstr>
      <vt:lpstr>Pension</vt:lpstr>
      <vt:lpstr>Samlet_omk!pensionsstatus</vt:lpstr>
      <vt:lpstr>Tillæg_kr!pensionsstatus</vt:lpstr>
      <vt:lpstr>pensionsstatus</vt:lpstr>
      <vt:lpstr>Samlet_omk!problemknuser</vt:lpstr>
      <vt:lpstr>problemknuser</vt:lpstr>
      <vt:lpstr>reg_pct</vt:lpstr>
      <vt:lpstr>Tillæg_kr!reg_procenten</vt:lpstr>
      <vt:lpstr>regpct_tabel</vt:lpstr>
      <vt:lpstr>Tillæg_kr!regulering</vt:lpstr>
      <vt:lpstr>regulering</vt:lpstr>
      <vt:lpstr>Tillæg_kr!regulering_1_4_2001</vt:lpstr>
      <vt:lpstr>Tillæg_kr!regulering_31_3_2000</vt:lpstr>
      <vt:lpstr>tekst</vt:lpstr>
      <vt:lpstr>tid</vt:lpstr>
      <vt:lpstr>Samlet_omk!til_trin</vt:lpstr>
      <vt:lpstr>til_trin</vt:lpstr>
      <vt:lpstr>Samlet_omk!timetal</vt:lpstr>
      <vt:lpstr>Tillæg_kr!timetal</vt:lpstr>
      <vt:lpstr>timetal</vt:lpstr>
      <vt:lpstr>timetal_ny</vt:lpstr>
      <vt:lpstr>udbygningspct</vt:lpstr>
      <vt:lpstr>Omregner!Udskriftsområde</vt:lpstr>
      <vt:lpstr>'Omregningstabel '!Udskriftsområde</vt:lpstr>
      <vt:lpstr>'Op_ned i tid'!Udskriftsområde</vt:lpstr>
      <vt:lpstr>Samlet_omk!Udskriftsområde</vt:lpstr>
      <vt:lpstr>valgt_regulering</vt:lpstr>
      <vt:lpstr>årsløn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Diverse lønomkostningsberegninger KL</dc:title>
  <dc:subject>RGN</dc:subject>
  <dc:creator>Finn Gronmar</dc:creator>
  <dc:description>Beregner til TZ_x000d_
Alt VBA / ActiveX redigeret ud pr. marts 2025</dc:description>
  <cp:lastModifiedBy>Finn Grønmar</cp:lastModifiedBy>
  <cp:lastPrinted>2015-05-20T10:36:07Z</cp:lastPrinted>
  <dcterms:created xsi:type="dcterms:W3CDTF">1999-05-25T13:31:32Z</dcterms:created>
  <dcterms:modified xsi:type="dcterms:W3CDTF">2025-04-14T00:16:46Z</dcterms:modified>
</cp:coreProperties>
</file>